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9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AREA_TECNICA/Commesse in corso di partecipazione/Offerte/2019/2019_67 Comune Molfetta Monitoraggio Porto/Operativo/Campagna di raccordo/Atmosfera/ATM/dati/"/>
    </mc:Choice>
  </mc:AlternateContent>
  <xr:revisionPtr revIDLastSave="0" documentId="13_ncr:1_{301046EC-D5E8-B041-94CA-6141B28C33DA}" xr6:coauthVersionLast="36" xr6:coauthVersionMax="36" xr10:uidLastSave="{00000000-0000-0000-0000-000000000000}"/>
  <bookViews>
    <workbookView xWindow="0" yWindow="0" windowWidth="51200" windowHeight="28800" activeTab="3" xr2:uid="{B80C294D-5D68-824A-B0DC-0EA33491F61B}"/>
  </bookViews>
  <sheets>
    <sheet name="Inquinanti Gas" sheetId="1" r:id="rId1"/>
    <sheet name="Parametri Meteo" sheetId="2" r:id="rId2"/>
    <sheet name="BTEX" sheetId="3" r:id="rId3"/>
    <sheet name="Particolato - BaP - Met" sheetId="4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" i="4" l="1"/>
  <c r="N1" i="4"/>
  <c r="I2" i="4"/>
  <c r="B4" i="4"/>
  <c r="B3" i="4"/>
  <c r="B2" i="4"/>
  <c r="A2" i="4"/>
  <c r="A1" i="4"/>
  <c r="H2" i="4"/>
  <c r="I4" i="4"/>
  <c r="I3" i="4"/>
  <c r="H1" i="4"/>
  <c r="L340" i="3" l="1"/>
  <c r="J340" i="3"/>
  <c r="H340" i="3"/>
  <c r="F340" i="3"/>
  <c r="D340" i="3"/>
  <c r="B340" i="3"/>
  <c r="A340" i="3"/>
  <c r="L339" i="3"/>
  <c r="J339" i="3"/>
  <c r="H339" i="3"/>
  <c r="F339" i="3"/>
  <c r="D339" i="3"/>
  <c r="B339" i="3"/>
  <c r="A339" i="3"/>
  <c r="L338" i="3"/>
  <c r="J338" i="3"/>
  <c r="H338" i="3"/>
  <c r="F338" i="3"/>
  <c r="D338" i="3"/>
  <c r="B338" i="3"/>
  <c r="A338" i="3"/>
  <c r="L337" i="3"/>
  <c r="J337" i="3"/>
  <c r="H337" i="3"/>
  <c r="F337" i="3"/>
  <c r="D337" i="3"/>
  <c r="B337" i="3"/>
  <c r="A337" i="3"/>
  <c r="L336" i="3"/>
  <c r="J336" i="3"/>
  <c r="H336" i="3"/>
  <c r="F336" i="3"/>
  <c r="D336" i="3"/>
  <c r="B336" i="3"/>
  <c r="A336" i="3"/>
  <c r="L335" i="3"/>
  <c r="J335" i="3"/>
  <c r="H335" i="3"/>
  <c r="F335" i="3"/>
  <c r="D335" i="3"/>
  <c r="B335" i="3"/>
  <c r="A335" i="3"/>
  <c r="L334" i="3"/>
  <c r="J334" i="3"/>
  <c r="H334" i="3"/>
  <c r="F334" i="3"/>
  <c r="D334" i="3"/>
  <c r="B334" i="3"/>
  <c r="A334" i="3"/>
  <c r="L333" i="3"/>
  <c r="J333" i="3"/>
  <c r="H333" i="3"/>
  <c r="F333" i="3"/>
  <c r="D333" i="3"/>
  <c r="B333" i="3"/>
  <c r="A333" i="3"/>
  <c r="L332" i="3"/>
  <c r="J332" i="3"/>
  <c r="H332" i="3"/>
  <c r="F332" i="3"/>
  <c r="D332" i="3"/>
  <c r="B332" i="3"/>
  <c r="A332" i="3"/>
  <c r="L331" i="3"/>
  <c r="J331" i="3"/>
  <c r="H331" i="3"/>
  <c r="F331" i="3"/>
  <c r="D331" i="3"/>
  <c r="B331" i="3"/>
  <c r="A331" i="3"/>
  <c r="L330" i="3"/>
  <c r="J330" i="3"/>
  <c r="H330" i="3"/>
  <c r="F330" i="3"/>
  <c r="D330" i="3"/>
  <c r="B330" i="3"/>
  <c r="A330" i="3"/>
  <c r="L329" i="3"/>
  <c r="J329" i="3"/>
  <c r="H329" i="3"/>
  <c r="F329" i="3"/>
  <c r="D329" i="3"/>
  <c r="B329" i="3"/>
  <c r="A329" i="3"/>
  <c r="L328" i="3"/>
  <c r="J328" i="3"/>
  <c r="H328" i="3"/>
  <c r="F328" i="3"/>
  <c r="D328" i="3"/>
  <c r="B328" i="3"/>
  <c r="A328" i="3"/>
  <c r="B327" i="3"/>
  <c r="A327" i="3"/>
  <c r="B326" i="3"/>
  <c r="A326" i="3"/>
  <c r="B325" i="3"/>
  <c r="A325" i="3"/>
  <c r="L324" i="3"/>
  <c r="J324" i="3"/>
  <c r="H324" i="3"/>
  <c r="F324" i="3"/>
  <c r="D324" i="3"/>
  <c r="B324" i="3"/>
  <c r="A324" i="3"/>
  <c r="L323" i="3"/>
  <c r="J323" i="3"/>
  <c r="H323" i="3"/>
  <c r="F323" i="3"/>
  <c r="D323" i="3"/>
  <c r="B323" i="3"/>
  <c r="A323" i="3"/>
  <c r="L322" i="3"/>
  <c r="J322" i="3"/>
  <c r="H322" i="3"/>
  <c r="F322" i="3"/>
  <c r="D322" i="3"/>
  <c r="B322" i="3"/>
  <c r="A322" i="3"/>
  <c r="L321" i="3"/>
  <c r="J321" i="3"/>
  <c r="H321" i="3"/>
  <c r="F321" i="3"/>
  <c r="D321" i="3"/>
  <c r="B321" i="3"/>
  <c r="A321" i="3"/>
  <c r="L320" i="3"/>
  <c r="J320" i="3"/>
  <c r="H320" i="3"/>
  <c r="F320" i="3"/>
  <c r="D320" i="3"/>
  <c r="B320" i="3"/>
  <c r="A320" i="3"/>
  <c r="L319" i="3"/>
  <c r="J319" i="3"/>
  <c r="H319" i="3"/>
  <c r="F319" i="3"/>
  <c r="D319" i="3"/>
  <c r="B319" i="3"/>
  <c r="A319" i="3"/>
  <c r="L318" i="3"/>
  <c r="J318" i="3"/>
  <c r="H318" i="3"/>
  <c r="F318" i="3"/>
  <c r="D318" i="3"/>
  <c r="B318" i="3"/>
  <c r="A318" i="3"/>
  <c r="L317" i="3"/>
  <c r="K317" i="3"/>
  <c r="J317" i="3"/>
  <c r="I317" i="3"/>
  <c r="H317" i="3"/>
  <c r="G317" i="3"/>
  <c r="F317" i="3"/>
  <c r="E317" i="3"/>
  <c r="D317" i="3"/>
  <c r="C317" i="3"/>
  <c r="B317" i="3"/>
  <c r="A317" i="3"/>
  <c r="L316" i="3"/>
  <c r="J316" i="3"/>
  <c r="H316" i="3"/>
  <c r="F316" i="3"/>
  <c r="D316" i="3"/>
  <c r="B316" i="3"/>
  <c r="A316" i="3"/>
  <c r="L315" i="3"/>
  <c r="J315" i="3"/>
  <c r="H315" i="3"/>
  <c r="F315" i="3"/>
  <c r="D315" i="3"/>
  <c r="B315" i="3"/>
  <c r="A315" i="3"/>
  <c r="L314" i="3"/>
  <c r="J314" i="3"/>
  <c r="H314" i="3"/>
  <c r="F314" i="3"/>
  <c r="D314" i="3"/>
  <c r="B314" i="3"/>
  <c r="A314" i="3"/>
  <c r="L313" i="3"/>
  <c r="J313" i="3"/>
  <c r="H313" i="3"/>
  <c r="F313" i="3"/>
  <c r="D313" i="3"/>
  <c r="B313" i="3"/>
  <c r="A313" i="3"/>
  <c r="L312" i="3"/>
  <c r="J312" i="3"/>
  <c r="H312" i="3"/>
  <c r="F312" i="3"/>
  <c r="D312" i="3"/>
  <c r="B312" i="3"/>
  <c r="A312" i="3"/>
  <c r="L311" i="3"/>
  <c r="J311" i="3"/>
  <c r="H311" i="3"/>
  <c r="F311" i="3"/>
  <c r="D311" i="3"/>
  <c r="B311" i="3"/>
  <c r="A311" i="3"/>
  <c r="L310" i="3"/>
  <c r="J310" i="3"/>
  <c r="H310" i="3"/>
  <c r="F310" i="3"/>
  <c r="D310" i="3"/>
  <c r="B310" i="3"/>
  <c r="A310" i="3"/>
  <c r="L309" i="3"/>
  <c r="J309" i="3"/>
  <c r="H309" i="3"/>
  <c r="F309" i="3"/>
  <c r="D309" i="3"/>
  <c r="B309" i="3"/>
  <c r="A309" i="3"/>
  <c r="L308" i="3"/>
  <c r="J308" i="3"/>
  <c r="H308" i="3"/>
  <c r="F308" i="3"/>
  <c r="D308" i="3"/>
  <c r="B308" i="3"/>
  <c r="A308" i="3"/>
  <c r="L307" i="3"/>
  <c r="J307" i="3"/>
  <c r="H307" i="3"/>
  <c r="F307" i="3"/>
  <c r="D307" i="3"/>
  <c r="B307" i="3"/>
  <c r="A307" i="3"/>
  <c r="L306" i="3"/>
  <c r="J306" i="3"/>
  <c r="H306" i="3"/>
  <c r="F306" i="3"/>
  <c r="D306" i="3"/>
  <c r="B306" i="3"/>
  <c r="A306" i="3"/>
  <c r="L305" i="3"/>
  <c r="J305" i="3"/>
  <c r="H305" i="3"/>
  <c r="F305" i="3"/>
  <c r="D305" i="3"/>
  <c r="B305" i="3"/>
  <c r="A305" i="3"/>
  <c r="L304" i="3"/>
  <c r="J304" i="3"/>
  <c r="H304" i="3"/>
  <c r="F304" i="3"/>
  <c r="D304" i="3"/>
  <c r="B304" i="3"/>
  <c r="A304" i="3"/>
  <c r="L303" i="3"/>
  <c r="J303" i="3"/>
  <c r="H303" i="3"/>
  <c r="F303" i="3"/>
  <c r="D303" i="3"/>
  <c r="B303" i="3"/>
  <c r="A303" i="3"/>
  <c r="L302" i="3"/>
  <c r="J302" i="3"/>
  <c r="H302" i="3"/>
  <c r="F302" i="3"/>
  <c r="D302" i="3"/>
  <c r="B302" i="3"/>
  <c r="A302" i="3"/>
  <c r="L301" i="3"/>
  <c r="J301" i="3"/>
  <c r="H301" i="3"/>
  <c r="F301" i="3"/>
  <c r="D301" i="3"/>
  <c r="B301" i="3"/>
  <c r="A301" i="3"/>
  <c r="L300" i="3"/>
  <c r="J300" i="3"/>
  <c r="H300" i="3"/>
  <c r="F300" i="3"/>
  <c r="D300" i="3"/>
  <c r="B300" i="3"/>
  <c r="A300" i="3"/>
  <c r="L299" i="3"/>
  <c r="J299" i="3"/>
  <c r="H299" i="3"/>
  <c r="F299" i="3"/>
  <c r="D299" i="3"/>
  <c r="B299" i="3"/>
  <c r="A299" i="3"/>
  <c r="L298" i="3"/>
  <c r="J298" i="3"/>
  <c r="H298" i="3"/>
  <c r="F298" i="3"/>
  <c r="D298" i="3"/>
  <c r="B298" i="3"/>
  <c r="A298" i="3"/>
  <c r="L297" i="3"/>
  <c r="J297" i="3"/>
  <c r="H297" i="3"/>
  <c r="F297" i="3"/>
  <c r="D297" i="3"/>
  <c r="B297" i="3"/>
  <c r="A297" i="3"/>
  <c r="L296" i="3"/>
  <c r="J296" i="3"/>
  <c r="H296" i="3"/>
  <c r="F296" i="3"/>
  <c r="D296" i="3"/>
  <c r="B296" i="3"/>
  <c r="A296" i="3"/>
  <c r="L295" i="3"/>
  <c r="J295" i="3"/>
  <c r="H295" i="3"/>
  <c r="F295" i="3"/>
  <c r="D295" i="3"/>
  <c r="B295" i="3"/>
  <c r="A295" i="3"/>
  <c r="L294" i="3"/>
  <c r="J294" i="3"/>
  <c r="H294" i="3"/>
  <c r="F294" i="3"/>
  <c r="D294" i="3"/>
  <c r="B294" i="3"/>
  <c r="A294" i="3"/>
  <c r="L293" i="3"/>
  <c r="K293" i="3"/>
  <c r="J293" i="3"/>
  <c r="I293" i="3"/>
  <c r="H293" i="3"/>
  <c r="G293" i="3"/>
  <c r="F293" i="3"/>
  <c r="E293" i="3"/>
  <c r="D293" i="3"/>
  <c r="C293" i="3"/>
  <c r="B293" i="3"/>
  <c r="A293" i="3"/>
  <c r="L292" i="3"/>
  <c r="J292" i="3"/>
  <c r="H292" i="3"/>
  <c r="F292" i="3"/>
  <c r="D292" i="3"/>
  <c r="B292" i="3"/>
  <c r="A292" i="3"/>
  <c r="L291" i="3"/>
  <c r="J291" i="3"/>
  <c r="H291" i="3"/>
  <c r="F291" i="3"/>
  <c r="D291" i="3"/>
  <c r="B291" i="3"/>
  <c r="A291" i="3"/>
  <c r="L290" i="3"/>
  <c r="J290" i="3"/>
  <c r="H290" i="3"/>
  <c r="F290" i="3"/>
  <c r="D290" i="3"/>
  <c r="B290" i="3"/>
  <c r="A290" i="3"/>
  <c r="L289" i="3"/>
  <c r="J289" i="3"/>
  <c r="H289" i="3"/>
  <c r="F289" i="3"/>
  <c r="D289" i="3"/>
  <c r="B289" i="3"/>
  <c r="A289" i="3"/>
  <c r="L288" i="3"/>
  <c r="J288" i="3"/>
  <c r="H288" i="3"/>
  <c r="F288" i="3"/>
  <c r="D288" i="3"/>
  <c r="B288" i="3"/>
  <c r="A288" i="3"/>
  <c r="L287" i="3"/>
  <c r="J287" i="3"/>
  <c r="H287" i="3"/>
  <c r="F287" i="3"/>
  <c r="D287" i="3"/>
  <c r="B287" i="3"/>
  <c r="A287" i="3"/>
  <c r="L286" i="3"/>
  <c r="J286" i="3"/>
  <c r="H286" i="3"/>
  <c r="F286" i="3"/>
  <c r="D286" i="3"/>
  <c r="B286" i="3"/>
  <c r="A286" i="3"/>
  <c r="L285" i="3"/>
  <c r="J285" i="3"/>
  <c r="H285" i="3"/>
  <c r="F285" i="3"/>
  <c r="D285" i="3"/>
  <c r="B285" i="3"/>
  <c r="A285" i="3"/>
  <c r="L284" i="3"/>
  <c r="J284" i="3"/>
  <c r="H284" i="3"/>
  <c r="F284" i="3"/>
  <c r="D284" i="3"/>
  <c r="B284" i="3"/>
  <c r="A284" i="3"/>
  <c r="L283" i="3"/>
  <c r="J283" i="3"/>
  <c r="H283" i="3"/>
  <c r="F283" i="3"/>
  <c r="D283" i="3"/>
  <c r="B283" i="3"/>
  <c r="A283" i="3"/>
  <c r="L282" i="3"/>
  <c r="J282" i="3"/>
  <c r="H282" i="3"/>
  <c r="F282" i="3"/>
  <c r="D282" i="3"/>
  <c r="B282" i="3"/>
  <c r="A282" i="3"/>
  <c r="L281" i="3"/>
  <c r="J281" i="3"/>
  <c r="H281" i="3"/>
  <c r="F281" i="3"/>
  <c r="D281" i="3"/>
  <c r="B281" i="3"/>
  <c r="A281" i="3"/>
  <c r="L280" i="3"/>
  <c r="J280" i="3"/>
  <c r="H280" i="3"/>
  <c r="F280" i="3"/>
  <c r="D280" i="3"/>
  <c r="B280" i="3"/>
  <c r="A280" i="3"/>
  <c r="L279" i="3"/>
  <c r="J279" i="3"/>
  <c r="H279" i="3"/>
  <c r="F279" i="3"/>
  <c r="D279" i="3"/>
  <c r="B279" i="3"/>
  <c r="A279" i="3"/>
  <c r="L278" i="3"/>
  <c r="J278" i="3"/>
  <c r="H278" i="3"/>
  <c r="F278" i="3"/>
  <c r="D278" i="3"/>
  <c r="B278" i="3"/>
  <c r="A278" i="3"/>
  <c r="L277" i="3"/>
  <c r="J277" i="3"/>
  <c r="H277" i="3"/>
  <c r="F277" i="3"/>
  <c r="D277" i="3"/>
  <c r="B277" i="3"/>
  <c r="A277" i="3"/>
  <c r="L276" i="3"/>
  <c r="J276" i="3"/>
  <c r="H276" i="3"/>
  <c r="F276" i="3"/>
  <c r="D276" i="3"/>
  <c r="B276" i="3"/>
  <c r="A276" i="3"/>
  <c r="L275" i="3"/>
  <c r="J275" i="3"/>
  <c r="H275" i="3"/>
  <c r="F275" i="3"/>
  <c r="D275" i="3"/>
  <c r="B275" i="3"/>
  <c r="A275" i="3"/>
  <c r="L274" i="3"/>
  <c r="J274" i="3"/>
  <c r="H274" i="3"/>
  <c r="F274" i="3"/>
  <c r="D274" i="3"/>
  <c r="B274" i="3"/>
  <c r="A274" i="3"/>
  <c r="L273" i="3"/>
  <c r="J273" i="3"/>
  <c r="H273" i="3"/>
  <c r="F273" i="3"/>
  <c r="D273" i="3"/>
  <c r="B273" i="3"/>
  <c r="A273" i="3"/>
  <c r="L272" i="3"/>
  <c r="J272" i="3"/>
  <c r="H272" i="3"/>
  <c r="F272" i="3"/>
  <c r="D272" i="3"/>
  <c r="B272" i="3"/>
  <c r="A272" i="3"/>
  <c r="L271" i="3"/>
  <c r="J271" i="3"/>
  <c r="H271" i="3"/>
  <c r="F271" i="3"/>
  <c r="D271" i="3"/>
  <c r="B271" i="3"/>
  <c r="A271" i="3"/>
  <c r="L270" i="3"/>
  <c r="J270" i="3"/>
  <c r="H270" i="3"/>
  <c r="F270" i="3"/>
  <c r="D270" i="3"/>
  <c r="B270" i="3"/>
  <c r="A270" i="3"/>
  <c r="L269" i="3"/>
  <c r="K269" i="3"/>
  <c r="J269" i="3"/>
  <c r="I269" i="3"/>
  <c r="H269" i="3"/>
  <c r="G269" i="3"/>
  <c r="F269" i="3"/>
  <c r="E269" i="3"/>
  <c r="D269" i="3"/>
  <c r="C269" i="3"/>
  <c r="B269" i="3"/>
  <c r="A269" i="3"/>
  <c r="L268" i="3"/>
  <c r="J268" i="3"/>
  <c r="H268" i="3"/>
  <c r="F268" i="3"/>
  <c r="D268" i="3"/>
  <c r="B268" i="3"/>
  <c r="A268" i="3"/>
  <c r="L267" i="3"/>
  <c r="J267" i="3"/>
  <c r="H267" i="3"/>
  <c r="F267" i="3"/>
  <c r="D267" i="3"/>
  <c r="B267" i="3"/>
  <c r="A267" i="3"/>
  <c r="L266" i="3"/>
  <c r="J266" i="3"/>
  <c r="H266" i="3"/>
  <c r="F266" i="3"/>
  <c r="D266" i="3"/>
  <c r="B266" i="3"/>
  <c r="A266" i="3"/>
  <c r="L265" i="3"/>
  <c r="J265" i="3"/>
  <c r="H265" i="3"/>
  <c r="F265" i="3"/>
  <c r="D265" i="3"/>
  <c r="B265" i="3"/>
  <c r="A265" i="3"/>
  <c r="L264" i="3"/>
  <c r="J264" i="3"/>
  <c r="H264" i="3"/>
  <c r="F264" i="3"/>
  <c r="D264" i="3"/>
  <c r="B264" i="3"/>
  <c r="A264" i="3"/>
  <c r="L263" i="3"/>
  <c r="J263" i="3"/>
  <c r="H263" i="3"/>
  <c r="F263" i="3"/>
  <c r="D263" i="3"/>
  <c r="B263" i="3"/>
  <c r="A263" i="3"/>
  <c r="L262" i="3"/>
  <c r="J262" i="3"/>
  <c r="H262" i="3"/>
  <c r="F262" i="3"/>
  <c r="D262" i="3"/>
  <c r="B262" i="3"/>
  <c r="A262" i="3"/>
  <c r="L261" i="3"/>
  <c r="J261" i="3"/>
  <c r="H261" i="3"/>
  <c r="F261" i="3"/>
  <c r="D261" i="3"/>
  <c r="B261" i="3"/>
  <c r="A261" i="3"/>
  <c r="L260" i="3"/>
  <c r="J260" i="3"/>
  <c r="H260" i="3"/>
  <c r="F260" i="3"/>
  <c r="D260" i="3"/>
  <c r="B260" i="3"/>
  <c r="A260" i="3"/>
  <c r="L259" i="3"/>
  <c r="J259" i="3"/>
  <c r="H259" i="3"/>
  <c r="F259" i="3"/>
  <c r="D259" i="3"/>
  <c r="B259" i="3"/>
  <c r="A259" i="3"/>
  <c r="L258" i="3"/>
  <c r="J258" i="3"/>
  <c r="H258" i="3"/>
  <c r="F258" i="3"/>
  <c r="D258" i="3"/>
  <c r="B258" i="3"/>
  <c r="A258" i="3"/>
  <c r="L257" i="3"/>
  <c r="J257" i="3"/>
  <c r="H257" i="3"/>
  <c r="F257" i="3"/>
  <c r="D257" i="3"/>
  <c r="B257" i="3"/>
  <c r="A257" i="3"/>
  <c r="L256" i="3"/>
  <c r="J256" i="3"/>
  <c r="H256" i="3"/>
  <c r="F256" i="3"/>
  <c r="D256" i="3"/>
  <c r="B256" i="3"/>
  <c r="A256" i="3"/>
  <c r="L255" i="3"/>
  <c r="J255" i="3"/>
  <c r="H255" i="3"/>
  <c r="F255" i="3"/>
  <c r="D255" i="3"/>
  <c r="B255" i="3"/>
  <c r="A255" i="3"/>
  <c r="L254" i="3"/>
  <c r="J254" i="3"/>
  <c r="H254" i="3"/>
  <c r="F254" i="3"/>
  <c r="D254" i="3"/>
  <c r="B254" i="3"/>
  <c r="A254" i="3"/>
  <c r="L253" i="3"/>
  <c r="J253" i="3"/>
  <c r="H253" i="3"/>
  <c r="F253" i="3"/>
  <c r="D253" i="3"/>
  <c r="B253" i="3"/>
  <c r="A253" i="3"/>
  <c r="L252" i="3"/>
  <c r="J252" i="3"/>
  <c r="H252" i="3"/>
  <c r="F252" i="3"/>
  <c r="D252" i="3"/>
  <c r="B252" i="3"/>
  <c r="A252" i="3"/>
  <c r="L251" i="3"/>
  <c r="J251" i="3"/>
  <c r="H251" i="3"/>
  <c r="F251" i="3"/>
  <c r="D251" i="3"/>
  <c r="B251" i="3"/>
  <c r="A251" i="3"/>
  <c r="L250" i="3"/>
  <c r="J250" i="3"/>
  <c r="H250" i="3"/>
  <c r="F250" i="3"/>
  <c r="D250" i="3"/>
  <c r="B250" i="3"/>
  <c r="A250" i="3"/>
  <c r="L249" i="3"/>
  <c r="J249" i="3"/>
  <c r="H249" i="3"/>
  <c r="F249" i="3"/>
  <c r="D249" i="3"/>
  <c r="B249" i="3"/>
  <c r="A249" i="3"/>
  <c r="L248" i="3"/>
  <c r="J248" i="3"/>
  <c r="H248" i="3"/>
  <c r="F248" i="3"/>
  <c r="D248" i="3"/>
  <c r="B248" i="3"/>
  <c r="A248" i="3"/>
  <c r="L247" i="3"/>
  <c r="J247" i="3"/>
  <c r="H247" i="3"/>
  <c r="F247" i="3"/>
  <c r="D247" i="3"/>
  <c r="B247" i="3"/>
  <c r="A247" i="3"/>
  <c r="L246" i="3"/>
  <c r="J246" i="3"/>
  <c r="H246" i="3"/>
  <c r="F246" i="3"/>
  <c r="D246" i="3"/>
  <c r="B246" i="3"/>
  <c r="A246" i="3"/>
  <c r="L245" i="3"/>
  <c r="K245" i="3"/>
  <c r="J245" i="3"/>
  <c r="I245" i="3"/>
  <c r="H245" i="3"/>
  <c r="G245" i="3"/>
  <c r="F245" i="3"/>
  <c r="E245" i="3"/>
  <c r="D245" i="3"/>
  <c r="C245" i="3"/>
  <c r="B245" i="3"/>
  <c r="A245" i="3"/>
  <c r="L244" i="3"/>
  <c r="J244" i="3"/>
  <c r="H244" i="3"/>
  <c r="F244" i="3"/>
  <c r="D244" i="3"/>
  <c r="B244" i="3"/>
  <c r="A244" i="3"/>
  <c r="L243" i="3"/>
  <c r="J243" i="3"/>
  <c r="H243" i="3"/>
  <c r="F243" i="3"/>
  <c r="D243" i="3"/>
  <c r="B243" i="3"/>
  <c r="A243" i="3"/>
  <c r="L242" i="3"/>
  <c r="J242" i="3"/>
  <c r="H242" i="3"/>
  <c r="F242" i="3"/>
  <c r="D242" i="3"/>
  <c r="B242" i="3"/>
  <c r="A242" i="3"/>
  <c r="L241" i="3"/>
  <c r="J241" i="3"/>
  <c r="H241" i="3"/>
  <c r="F241" i="3"/>
  <c r="D241" i="3"/>
  <c r="B241" i="3"/>
  <c r="A241" i="3"/>
  <c r="L240" i="3"/>
  <c r="J240" i="3"/>
  <c r="H240" i="3"/>
  <c r="F240" i="3"/>
  <c r="D240" i="3"/>
  <c r="B240" i="3"/>
  <c r="A240" i="3"/>
  <c r="L239" i="3"/>
  <c r="J239" i="3"/>
  <c r="H239" i="3"/>
  <c r="F239" i="3"/>
  <c r="D239" i="3"/>
  <c r="B239" i="3"/>
  <c r="A239" i="3"/>
  <c r="L238" i="3"/>
  <c r="J238" i="3"/>
  <c r="H238" i="3"/>
  <c r="F238" i="3"/>
  <c r="D238" i="3"/>
  <c r="B238" i="3"/>
  <c r="A238" i="3"/>
  <c r="L237" i="3"/>
  <c r="J237" i="3"/>
  <c r="H237" i="3"/>
  <c r="F237" i="3"/>
  <c r="D237" i="3"/>
  <c r="B237" i="3"/>
  <c r="A237" i="3"/>
  <c r="L236" i="3"/>
  <c r="J236" i="3"/>
  <c r="H236" i="3"/>
  <c r="F236" i="3"/>
  <c r="D236" i="3"/>
  <c r="B236" i="3"/>
  <c r="A236" i="3"/>
  <c r="L235" i="3"/>
  <c r="J235" i="3"/>
  <c r="H235" i="3"/>
  <c r="F235" i="3"/>
  <c r="D235" i="3"/>
  <c r="B235" i="3"/>
  <c r="A235" i="3"/>
  <c r="L234" i="3"/>
  <c r="J234" i="3"/>
  <c r="H234" i="3"/>
  <c r="F234" i="3"/>
  <c r="D234" i="3"/>
  <c r="B234" i="3"/>
  <c r="A234" i="3"/>
  <c r="L233" i="3"/>
  <c r="J233" i="3"/>
  <c r="H233" i="3"/>
  <c r="F233" i="3"/>
  <c r="D233" i="3"/>
  <c r="B233" i="3"/>
  <c r="A233" i="3"/>
  <c r="L232" i="3"/>
  <c r="J232" i="3"/>
  <c r="H232" i="3"/>
  <c r="F232" i="3"/>
  <c r="D232" i="3"/>
  <c r="B232" i="3"/>
  <c r="A232" i="3"/>
  <c r="L231" i="3"/>
  <c r="J231" i="3"/>
  <c r="H231" i="3"/>
  <c r="F231" i="3"/>
  <c r="D231" i="3"/>
  <c r="B231" i="3"/>
  <c r="A231" i="3"/>
  <c r="L230" i="3"/>
  <c r="J230" i="3"/>
  <c r="H230" i="3"/>
  <c r="F230" i="3"/>
  <c r="D230" i="3"/>
  <c r="B230" i="3"/>
  <c r="A230" i="3"/>
  <c r="L229" i="3"/>
  <c r="J229" i="3"/>
  <c r="H229" i="3"/>
  <c r="F229" i="3"/>
  <c r="D229" i="3"/>
  <c r="B229" i="3"/>
  <c r="A229" i="3"/>
  <c r="L228" i="3"/>
  <c r="J228" i="3"/>
  <c r="H228" i="3"/>
  <c r="F228" i="3"/>
  <c r="D228" i="3"/>
  <c r="B228" i="3"/>
  <c r="A228" i="3"/>
  <c r="L227" i="3"/>
  <c r="J227" i="3"/>
  <c r="H227" i="3"/>
  <c r="F227" i="3"/>
  <c r="D227" i="3"/>
  <c r="B227" i="3"/>
  <c r="A227" i="3"/>
  <c r="L226" i="3"/>
  <c r="J226" i="3"/>
  <c r="H226" i="3"/>
  <c r="F226" i="3"/>
  <c r="D226" i="3"/>
  <c r="B226" i="3"/>
  <c r="A226" i="3"/>
  <c r="L225" i="3"/>
  <c r="J225" i="3"/>
  <c r="H225" i="3"/>
  <c r="F225" i="3"/>
  <c r="D225" i="3"/>
  <c r="B225" i="3"/>
  <c r="A225" i="3"/>
  <c r="L224" i="3"/>
  <c r="J224" i="3"/>
  <c r="H224" i="3"/>
  <c r="F224" i="3"/>
  <c r="D224" i="3"/>
  <c r="B224" i="3"/>
  <c r="A224" i="3"/>
  <c r="L223" i="3"/>
  <c r="J223" i="3"/>
  <c r="H223" i="3"/>
  <c r="F223" i="3"/>
  <c r="D223" i="3"/>
  <c r="B223" i="3"/>
  <c r="A223" i="3"/>
  <c r="L222" i="3"/>
  <c r="J222" i="3"/>
  <c r="H222" i="3"/>
  <c r="F222" i="3"/>
  <c r="D222" i="3"/>
  <c r="B222" i="3"/>
  <c r="A222" i="3"/>
  <c r="L221" i="3"/>
  <c r="K221" i="3"/>
  <c r="J221" i="3"/>
  <c r="I221" i="3"/>
  <c r="H221" i="3"/>
  <c r="G221" i="3"/>
  <c r="F221" i="3"/>
  <c r="E221" i="3"/>
  <c r="D221" i="3"/>
  <c r="C221" i="3"/>
  <c r="B221" i="3"/>
  <c r="A221" i="3"/>
  <c r="L220" i="3"/>
  <c r="J220" i="3"/>
  <c r="H220" i="3"/>
  <c r="F220" i="3"/>
  <c r="D220" i="3"/>
  <c r="B220" i="3"/>
  <c r="A220" i="3"/>
  <c r="L219" i="3"/>
  <c r="J219" i="3"/>
  <c r="H219" i="3"/>
  <c r="F219" i="3"/>
  <c r="D219" i="3"/>
  <c r="B219" i="3"/>
  <c r="A219" i="3"/>
  <c r="L218" i="3"/>
  <c r="J218" i="3"/>
  <c r="H218" i="3"/>
  <c r="F218" i="3"/>
  <c r="D218" i="3"/>
  <c r="B218" i="3"/>
  <c r="A218" i="3"/>
  <c r="L217" i="3"/>
  <c r="J217" i="3"/>
  <c r="H217" i="3"/>
  <c r="F217" i="3"/>
  <c r="D217" i="3"/>
  <c r="B217" i="3"/>
  <c r="A217" i="3"/>
  <c r="L216" i="3"/>
  <c r="J216" i="3"/>
  <c r="H216" i="3"/>
  <c r="F216" i="3"/>
  <c r="D216" i="3"/>
  <c r="B216" i="3"/>
  <c r="A216" i="3"/>
  <c r="L215" i="3"/>
  <c r="J215" i="3"/>
  <c r="H215" i="3"/>
  <c r="F215" i="3"/>
  <c r="D215" i="3"/>
  <c r="B215" i="3"/>
  <c r="A215" i="3"/>
  <c r="L214" i="3"/>
  <c r="J214" i="3"/>
  <c r="H214" i="3"/>
  <c r="F214" i="3"/>
  <c r="D214" i="3"/>
  <c r="B214" i="3"/>
  <c r="A214" i="3"/>
  <c r="L213" i="3"/>
  <c r="J213" i="3"/>
  <c r="H213" i="3"/>
  <c r="F213" i="3"/>
  <c r="D213" i="3"/>
  <c r="B213" i="3"/>
  <c r="A213" i="3"/>
  <c r="L212" i="3"/>
  <c r="J212" i="3"/>
  <c r="H212" i="3"/>
  <c r="F212" i="3"/>
  <c r="D212" i="3"/>
  <c r="B212" i="3"/>
  <c r="A212" i="3"/>
  <c r="L211" i="3"/>
  <c r="J211" i="3"/>
  <c r="H211" i="3"/>
  <c r="F211" i="3"/>
  <c r="D211" i="3"/>
  <c r="B211" i="3"/>
  <c r="A211" i="3"/>
  <c r="L210" i="3"/>
  <c r="J210" i="3"/>
  <c r="H210" i="3"/>
  <c r="F210" i="3"/>
  <c r="D210" i="3"/>
  <c r="B210" i="3"/>
  <c r="A210" i="3"/>
  <c r="L209" i="3"/>
  <c r="J209" i="3"/>
  <c r="H209" i="3"/>
  <c r="F209" i="3"/>
  <c r="D209" i="3"/>
  <c r="B209" i="3"/>
  <c r="A209" i="3"/>
  <c r="L208" i="3"/>
  <c r="J208" i="3"/>
  <c r="H208" i="3"/>
  <c r="F208" i="3"/>
  <c r="D208" i="3"/>
  <c r="B208" i="3"/>
  <c r="A208" i="3"/>
  <c r="L207" i="3"/>
  <c r="J207" i="3"/>
  <c r="H207" i="3"/>
  <c r="F207" i="3"/>
  <c r="D207" i="3"/>
  <c r="B207" i="3"/>
  <c r="A207" i="3"/>
  <c r="L206" i="3"/>
  <c r="J206" i="3"/>
  <c r="H206" i="3"/>
  <c r="F206" i="3"/>
  <c r="D206" i="3"/>
  <c r="B206" i="3"/>
  <c r="A206" i="3"/>
  <c r="L205" i="3"/>
  <c r="J205" i="3"/>
  <c r="H205" i="3"/>
  <c r="F205" i="3"/>
  <c r="D205" i="3"/>
  <c r="B205" i="3"/>
  <c r="A205" i="3"/>
  <c r="L204" i="3"/>
  <c r="J204" i="3"/>
  <c r="H204" i="3"/>
  <c r="F204" i="3"/>
  <c r="D204" i="3"/>
  <c r="B204" i="3"/>
  <c r="A204" i="3"/>
  <c r="L203" i="3"/>
  <c r="J203" i="3"/>
  <c r="H203" i="3"/>
  <c r="F203" i="3"/>
  <c r="D203" i="3"/>
  <c r="B203" i="3"/>
  <c r="A203" i="3"/>
  <c r="L202" i="3"/>
  <c r="J202" i="3"/>
  <c r="H202" i="3"/>
  <c r="F202" i="3"/>
  <c r="D202" i="3"/>
  <c r="B202" i="3"/>
  <c r="A202" i="3"/>
  <c r="L201" i="3"/>
  <c r="J201" i="3"/>
  <c r="H201" i="3"/>
  <c r="F201" i="3"/>
  <c r="D201" i="3"/>
  <c r="B201" i="3"/>
  <c r="A201" i="3"/>
  <c r="L200" i="3"/>
  <c r="J200" i="3"/>
  <c r="H200" i="3"/>
  <c r="F200" i="3"/>
  <c r="D200" i="3"/>
  <c r="B200" i="3"/>
  <c r="A200" i="3"/>
  <c r="L199" i="3"/>
  <c r="J199" i="3"/>
  <c r="H199" i="3"/>
  <c r="F199" i="3"/>
  <c r="D199" i="3"/>
  <c r="B199" i="3"/>
  <c r="A199" i="3"/>
  <c r="L198" i="3"/>
  <c r="J198" i="3"/>
  <c r="H198" i="3"/>
  <c r="F198" i="3"/>
  <c r="D198" i="3"/>
  <c r="B198" i="3"/>
  <c r="A198" i="3"/>
  <c r="L197" i="3"/>
  <c r="K197" i="3"/>
  <c r="J197" i="3"/>
  <c r="I197" i="3"/>
  <c r="H197" i="3"/>
  <c r="G197" i="3"/>
  <c r="F197" i="3"/>
  <c r="E197" i="3"/>
  <c r="D197" i="3"/>
  <c r="C197" i="3"/>
  <c r="B197" i="3"/>
  <c r="A197" i="3"/>
  <c r="L196" i="3"/>
  <c r="J196" i="3"/>
  <c r="H196" i="3"/>
  <c r="F196" i="3"/>
  <c r="D196" i="3"/>
  <c r="B196" i="3"/>
  <c r="A196" i="3"/>
  <c r="L195" i="3"/>
  <c r="J195" i="3"/>
  <c r="H195" i="3"/>
  <c r="F195" i="3"/>
  <c r="D195" i="3"/>
  <c r="B195" i="3"/>
  <c r="A195" i="3"/>
  <c r="L194" i="3"/>
  <c r="J194" i="3"/>
  <c r="H194" i="3"/>
  <c r="F194" i="3"/>
  <c r="D194" i="3"/>
  <c r="B194" i="3"/>
  <c r="A194" i="3"/>
  <c r="L193" i="3"/>
  <c r="J193" i="3"/>
  <c r="H193" i="3"/>
  <c r="F193" i="3"/>
  <c r="D193" i="3"/>
  <c r="B193" i="3"/>
  <c r="A193" i="3"/>
  <c r="L192" i="3"/>
  <c r="J192" i="3"/>
  <c r="H192" i="3"/>
  <c r="F192" i="3"/>
  <c r="D192" i="3"/>
  <c r="B192" i="3"/>
  <c r="A192" i="3"/>
  <c r="L191" i="3"/>
  <c r="J191" i="3"/>
  <c r="H191" i="3"/>
  <c r="F191" i="3"/>
  <c r="D191" i="3"/>
  <c r="B191" i="3"/>
  <c r="A191" i="3"/>
  <c r="L190" i="3"/>
  <c r="J190" i="3"/>
  <c r="H190" i="3"/>
  <c r="F190" i="3"/>
  <c r="D190" i="3"/>
  <c r="B190" i="3"/>
  <c r="A190" i="3"/>
  <c r="L189" i="3"/>
  <c r="J189" i="3"/>
  <c r="H189" i="3"/>
  <c r="F189" i="3"/>
  <c r="D189" i="3"/>
  <c r="B189" i="3"/>
  <c r="A189" i="3"/>
  <c r="L188" i="3"/>
  <c r="J188" i="3"/>
  <c r="H188" i="3"/>
  <c r="F188" i="3"/>
  <c r="D188" i="3"/>
  <c r="B188" i="3"/>
  <c r="A188" i="3"/>
  <c r="L187" i="3"/>
  <c r="J187" i="3"/>
  <c r="H187" i="3"/>
  <c r="F187" i="3"/>
  <c r="D187" i="3"/>
  <c r="B187" i="3"/>
  <c r="A187" i="3"/>
  <c r="L186" i="3"/>
  <c r="J186" i="3"/>
  <c r="H186" i="3"/>
  <c r="F186" i="3"/>
  <c r="D186" i="3"/>
  <c r="B186" i="3"/>
  <c r="A186" i="3"/>
  <c r="L185" i="3"/>
  <c r="J185" i="3"/>
  <c r="H185" i="3"/>
  <c r="F185" i="3"/>
  <c r="D185" i="3"/>
  <c r="B185" i="3"/>
  <c r="A185" i="3"/>
  <c r="L184" i="3"/>
  <c r="J184" i="3"/>
  <c r="H184" i="3"/>
  <c r="F184" i="3"/>
  <c r="D184" i="3"/>
  <c r="B184" i="3"/>
  <c r="A184" i="3"/>
  <c r="L183" i="3"/>
  <c r="J183" i="3"/>
  <c r="H183" i="3"/>
  <c r="F183" i="3"/>
  <c r="D183" i="3"/>
  <c r="B183" i="3"/>
  <c r="A183" i="3"/>
  <c r="L182" i="3"/>
  <c r="J182" i="3"/>
  <c r="H182" i="3"/>
  <c r="F182" i="3"/>
  <c r="D182" i="3"/>
  <c r="B182" i="3"/>
  <c r="A182" i="3"/>
  <c r="L181" i="3"/>
  <c r="J181" i="3"/>
  <c r="H181" i="3"/>
  <c r="F181" i="3"/>
  <c r="D181" i="3"/>
  <c r="B181" i="3"/>
  <c r="A181" i="3"/>
  <c r="L180" i="3"/>
  <c r="J180" i="3"/>
  <c r="H180" i="3"/>
  <c r="F180" i="3"/>
  <c r="D180" i="3"/>
  <c r="B180" i="3"/>
  <c r="A180" i="3"/>
  <c r="L179" i="3"/>
  <c r="J179" i="3"/>
  <c r="H179" i="3"/>
  <c r="F179" i="3"/>
  <c r="D179" i="3"/>
  <c r="B179" i="3"/>
  <c r="A179" i="3"/>
  <c r="L178" i="3"/>
  <c r="J178" i="3"/>
  <c r="H178" i="3"/>
  <c r="F178" i="3"/>
  <c r="D178" i="3"/>
  <c r="B178" i="3"/>
  <c r="A178" i="3"/>
  <c r="L177" i="3"/>
  <c r="J177" i="3"/>
  <c r="H177" i="3"/>
  <c r="F177" i="3"/>
  <c r="D177" i="3"/>
  <c r="B177" i="3"/>
  <c r="A177" i="3"/>
  <c r="L176" i="3"/>
  <c r="J176" i="3"/>
  <c r="H176" i="3"/>
  <c r="F176" i="3"/>
  <c r="D176" i="3"/>
  <c r="B176" i="3"/>
  <c r="A176" i="3"/>
  <c r="L175" i="3"/>
  <c r="J175" i="3"/>
  <c r="H175" i="3"/>
  <c r="F175" i="3"/>
  <c r="D175" i="3"/>
  <c r="B175" i="3"/>
  <c r="A175" i="3"/>
  <c r="L174" i="3"/>
  <c r="J174" i="3"/>
  <c r="H174" i="3"/>
  <c r="F174" i="3"/>
  <c r="D174" i="3"/>
  <c r="B174" i="3"/>
  <c r="A174" i="3"/>
  <c r="L173" i="3"/>
  <c r="K173" i="3"/>
  <c r="J173" i="3"/>
  <c r="I173" i="3"/>
  <c r="H173" i="3"/>
  <c r="G173" i="3"/>
  <c r="F173" i="3"/>
  <c r="E173" i="3"/>
  <c r="D173" i="3"/>
  <c r="C173" i="3"/>
  <c r="B173" i="3"/>
  <c r="A173" i="3"/>
  <c r="L172" i="3"/>
  <c r="J172" i="3"/>
  <c r="H172" i="3"/>
  <c r="F172" i="3"/>
  <c r="D172" i="3"/>
  <c r="B172" i="3"/>
  <c r="A172" i="3"/>
  <c r="L171" i="3"/>
  <c r="J171" i="3"/>
  <c r="H171" i="3"/>
  <c r="F171" i="3"/>
  <c r="D171" i="3"/>
  <c r="B171" i="3"/>
  <c r="A171" i="3"/>
  <c r="L170" i="3"/>
  <c r="J170" i="3"/>
  <c r="H170" i="3"/>
  <c r="F170" i="3"/>
  <c r="D170" i="3"/>
  <c r="B170" i="3"/>
  <c r="A170" i="3"/>
  <c r="L169" i="3"/>
  <c r="J169" i="3"/>
  <c r="H169" i="3"/>
  <c r="F169" i="3"/>
  <c r="D169" i="3"/>
  <c r="B169" i="3"/>
  <c r="A169" i="3"/>
  <c r="L168" i="3"/>
  <c r="J168" i="3"/>
  <c r="H168" i="3"/>
  <c r="F168" i="3"/>
  <c r="D168" i="3"/>
  <c r="B168" i="3"/>
  <c r="A168" i="3"/>
  <c r="L167" i="3"/>
  <c r="J167" i="3"/>
  <c r="H167" i="3"/>
  <c r="F167" i="3"/>
  <c r="D167" i="3"/>
  <c r="B167" i="3"/>
  <c r="A167" i="3"/>
  <c r="L166" i="3"/>
  <c r="J166" i="3"/>
  <c r="H166" i="3"/>
  <c r="F166" i="3"/>
  <c r="D166" i="3"/>
  <c r="B166" i="3"/>
  <c r="A166" i="3"/>
  <c r="L165" i="3"/>
  <c r="J165" i="3"/>
  <c r="H165" i="3"/>
  <c r="F165" i="3"/>
  <c r="D165" i="3"/>
  <c r="B165" i="3"/>
  <c r="A165" i="3"/>
  <c r="L164" i="3"/>
  <c r="J164" i="3"/>
  <c r="H164" i="3"/>
  <c r="F164" i="3"/>
  <c r="D164" i="3"/>
  <c r="B164" i="3"/>
  <c r="A164" i="3"/>
  <c r="L163" i="3"/>
  <c r="J163" i="3"/>
  <c r="H163" i="3"/>
  <c r="F163" i="3"/>
  <c r="D163" i="3"/>
  <c r="B163" i="3"/>
  <c r="A163" i="3"/>
  <c r="L162" i="3"/>
  <c r="J162" i="3"/>
  <c r="H162" i="3"/>
  <c r="F162" i="3"/>
  <c r="D162" i="3"/>
  <c r="B162" i="3"/>
  <c r="A162" i="3"/>
  <c r="L161" i="3"/>
  <c r="J161" i="3"/>
  <c r="H161" i="3"/>
  <c r="F161" i="3"/>
  <c r="D161" i="3"/>
  <c r="B161" i="3"/>
  <c r="A161" i="3"/>
  <c r="L160" i="3"/>
  <c r="J160" i="3"/>
  <c r="H160" i="3"/>
  <c r="F160" i="3"/>
  <c r="D160" i="3"/>
  <c r="B160" i="3"/>
  <c r="A160" i="3"/>
  <c r="L159" i="3"/>
  <c r="J159" i="3"/>
  <c r="H159" i="3"/>
  <c r="F159" i="3"/>
  <c r="D159" i="3"/>
  <c r="B159" i="3"/>
  <c r="A159" i="3"/>
  <c r="L158" i="3"/>
  <c r="J158" i="3"/>
  <c r="H158" i="3"/>
  <c r="F158" i="3"/>
  <c r="D158" i="3"/>
  <c r="B158" i="3"/>
  <c r="A158" i="3"/>
  <c r="L157" i="3"/>
  <c r="J157" i="3"/>
  <c r="H157" i="3"/>
  <c r="F157" i="3"/>
  <c r="D157" i="3"/>
  <c r="B157" i="3"/>
  <c r="A157" i="3"/>
  <c r="L156" i="3"/>
  <c r="J156" i="3"/>
  <c r="H156" i="3"/>
  <c r="F156" i="3"/>
  <c r="D156" i="3"/>
  <c r="B156" i="3"/>
  <c r="A156" i="3"/>
  <c r="L155" i="3"/>
  <c r="J155" i="3"/>
  <c r="H155" i="3"/>
  <c r="F155" i="3"/>
  <c r="D155" i="3"/>
  <c r="B155" i="3"/>
  <c r="A155" i="3"/>
  <c r="L154" i="3"/>
  <c r="J154" i="3"/>
  <c r="H154" i="3"/>
  <c r="F154" i="3"/>
  <c r="D154" i="3"/>
  <c r="B154" i="3"/>
  <c r="A154" i="3"/>
  <c r="L153" i="3"/>
  <c r="J153" i="3"/>
  <c r="H153" i="3"/>
  <c r="F153" i="3"/>
  <c r="D153" i="3"/>
  <c r="B153" i="3"/>
  <c r="A153" i="3"/>
  <c r="L152" i="3"/>
  <c r="J152" i="3"/>
  <c r="H152" i="3"/>
  <c r="F152" i="3"/>
  <c r="D152" i="3"/>
  <c r="B152" i="3"/>
  <c r="A152" i="3"/>
  <c r="L151" i="3"/>
  <c r="J151" i="3"/>
  <c r="H151" i="3"/>
  <c r="F151" i="3"/>
  <c r="D151" i="3"/>
  <c r="B151" i="3"/>
  <c r="A151" i="3"/>
  <c r="L150" i="3"/>
  <c r="J150" i="3"/>
  <c r="H150" i="3"/>
  <c r="F150" i="3"/>
  <c r="D150" i="3"/>
  <c r="B150" i="3"/>
  <c r="A150" i="3"/>
  <c r="L149" i="3"/>
  <c r="K149" i="3"/>
  <c r="J149" i="3"/>
  <c r="I149" i="3"/>
  <c r="H149" i="3"/>
  <c r="G149" i="3"/>
  <c r="F149" i="3"/>
  <c r="E149" i="3"/>
  <c r="D149" i="3"/>
  <c r="C149" i="3"/>
  <c r="B149" i="3"/>
  <c r="A149" i="3"/>
  <c r="L148" i="3"/>
  <c r="J148" i="3"/>
  <c r="H148" i="3"/>
  <c r="F148" i="3"/>
  <c r="D148" i="3"/>
  <c r="B148" i="3"/>
  <c r="A148" i="3"/>
  <c r="L147" i="3"/>
  <c r="J147" i="3"/>
  <c r="H147" i="3"/>
  <c r="F147" i="3"/>
  <c r="D147" i="3"/>
  <c r="B147" i="3"/>
  <c r="A147" i="3"/>
  <c r="L146" i="3"/>
  <c r="J146" i="3"/>
  <c r="H146" i="3"/>
  <c r="F146" i="3"/>
  <c r="D146" i="3"/>
  <c r="B146" i="3"/>
  <c r="A146" i="3"/>
  <c r="L145" i="3"/>
  <c r="J145" i="3"/>
  <c r="H145" i="3"/>
  <c r="F145" i="3"/>
  <c r="D145" i="3"/>
  <c r="B145" i="3"/>
  <c r="A145" i="3"/>
  <c r="L144" i="3"/>
  <c r="J144" i="3"/>
  <c r="H144" i="3"/>
  <c r="F144" i="3"/>
  <c r="D144" i="3"/>
  <c r="B144" i="3"/>
  <c r="A144" i="3"/>
  <c r="L143" i="3"/>
  <c r="J143" i="3"/>
  <c r="H143" i="3"/>
  <c r="F143" i="3"/>
  <c r="D143" i="3"/>
  <c r="B143" i="3"/>
  <c r="A143" i="3"/>
  <c r="L142" i="3"/>
  <c r="J142" i="3"/>
  <c r="H142" i="3"/>
  <c r="F142" i="3"/>
  <c r="D142" i="3"/>
  <c r="B142" i="3"/>
  <c r="A142" i="3"/>
  <c r="L141" i="3"/>
  <c r="J141" i="3"/>
  <c r="H141" i="3"/>
  <c r="F141" i="3"/>
  <c r="D141" i="3"/>
  <c r="B141" i="3"/>
  <c r="A141" i="3"/>
  <c r="L140" i="3"/>
  <c r="J140" i="3"/>
  <c r="H140" i="3"/>
  <c r="F140" i="3"/>
  <c r="D140" i="3"/>
  <c r="B140" i="3"/>
  <c r="A140" i="3"/>
  <c r="L139" i="3"/>
  <c r="J139" i="3"/>
  <c r="H139" i="3"/>
  <c r="F139" i="3"/>
  <c r="D139" i="3"/>
  <c r="B139" i="3"/>
  <c r="A139" i="3"/>
  <c r="L138" i="3"/>
  <c r="J138" i="3"/>
  <c r="H138" i="3"/>
  <c r="F138" i="3"/>
  <c r="D138" i="3"/>
  <c r="B138" i="3"/>
  <c r="A138" i="3"/>
  <c r="L137" i="3"/>
  <c r="J137" i="3"/>
  <c r="H137" i="3"/>
  <c r="F137" i="3"/>
  <c r="D137" i="3"/>
  <c r="B137" i="3"/>
  <c r="A137" i="3"/>
  <c r="L136" i="3"/>
  <c r="J136" i="3"/>
  <c r="H136" i="3"/>
  <c r="F136" i="3"/>
  <c r="D136" i="3"/>
  <c r="B136" i="3"/>
  <c r="A136" i="3"/>
  <c r="L135" i="3"/>
  <c r="J135" i="3"/>
  <c r="H135" i="3"/>
  <c r="F135" i="3"/>
  <c r="D135" i="3"/>
  <c r="B135" i="3"/>
  <c r="A135" i="3"/>
  <c r="L134" i="3"/>
  <c r="J134" i="3"/>
  <c r="H134" i="3"/>
  <c r="F134" i="3"/>
  <c r="D134" i="3"/>
  <c r="B134" i="3"/>
  <c r="A134" i="3"/>
  <c r="L133" i="3"/>
  <c r="J133" i="3"/>
  <c r="H133" i="3"/>
  <c r="F133" i="3"/>
  <c r="D133" i="3"/>
  <c r="B133" i="3"/>
  <c r="A133" i="3"/>
  <c r="L132" i="3"/>
  <c r="J132" i="3"/>
  <c r="H132" i="3"/>
  <c r="F132" i="3"/>
  <c r="D132" i="3"/>
  <c r="B132" i="3"/>
  <c r="A132" i="3"/>
  <c r="L131" i="3"/>
  <c r="J131" i="3"/>
  <c r="H131" i="3"/>
  <c r="F131" i="3"/>
  <c r="D131" i="3"/>
  <c r="B131" i="3"/>
  <c r="A131" i="3"/>
  <c r="L130" i="3"/>
  <c r="J130" i="3"/>
  <c r="H130" i="3"/>
  <c r="F130" i="3"/>
  <c r="D130" i="3"/>
  <c r="B130" i="3"/>
  <c r="A130" i="3"/>
  <c r="L129" i="3"/>
  <c r="J129" i="3"/>
  <c r="H129" i="3"/>
  <c r="F129" i="3"/>
  <c r="D129" i="3"/>
  <c r="B129" i="3"/>
  <c r="A129" i="3"/>
  <c r="L128" i="3"/>
  <c r="J128" i="3"/>
  <c r="H128" i="3"/>
  <c r="F128" i="3"/>
  <c r="D128" i="3"/>
  <c r="B128" i="3"/>
  <c r="A128" i="3"/>
  <c r="L127" i="3"/>
  <c r="J127" i="3"/>
  <c r="H127" i="3"/>
  <c r="F127" i="3"/>
  <c r="D127" i="3"/>
  <c r="B127" i="3"/>
  <c r="A127" i="3"/>
  <c r="L126" i="3"/>
  <c r="J126" i="3"/>
  <c r="H126" i="3"/>
  <c r="F126" i="3"/>
  <c r="D126" i="3"/>
  <c r="B126" i="3"/>
  <c r="A126" i="3"/>
  <c r="L125" i="3"/>
  <c r="K125" i="3"/>
  <c r="J125" i="3"/>
  <c r="I125" i="3"/>
  <c r="H125" i="3"/>
  <c r="G125" i="3"/>
  <c r="F125" i="3"/>
  <c r="E125" i="3"/>
  <c r="D125" i="3"/>
  <c r="C125" i="3"/>
  <c r="B125" i="3"/>
  <c r="A125" i="3"/>
  <c r="L124" i="3"/>
  <c r="J124" i="3"/>
  <c r="H124" i="3"/>
  <c r="F124" i="3"/>
  <c r="D124" i="3"/>
  <c r="B124" i="3"/>
  <c r="A124" i="3"/>
  <c r="L123" i="3"/>
  <c r="J123" i="3"/>
  <c r="H123" i="3"/>
  <c r="F123" i="3"/>
  <c r="D123" i="3"/>
  <c r="B123" i="3"/>
  <c r="A123" i="3"/>
  <c r="L122" i="3"/>
  <c r="J122" i="3"/>
  <c r="H122" i="3"/>
  <c r="F122" i="3"/>
  <c r="D122" i="3"/>
  <c r="B122" i="3"/>
  <c r="A122" i="3"/>
  <c r="L121" i="3"/>
  <c r="J121" i="3"/>
  <c r="H121" i="3"/>
  <c r="F121" i="3"/>
  <c r="D121" i="3"/>
  <c r="B121" i="3"/>
  <c r="A121" i="3"/>
  <c r="L120" i="3"/>
  <c r="J120" i="3"/>
  <c r="H120" i="3"/>
  <c r="F120" i="3"/>
  <c r="D120" i="3"/>
  <c r="B120" i="3"/>
  <c r="A120" i="3"/>
  <c r="L119" i="3"/>
  <c r="J119" i="3"/>
  <c r="H119" i="3"/>
  <c r="F119" i="3"/>
  <c r="D119" i="3"/>
  <c r="B119" i="3"/>
  <c r="A119" i="3"/>
  <c r="L118" i="3"/>
  <c r="J118" i="3"/>
  <c r="H118" i="3"/>
  <c r="F118" i="3"/>
  <c r="D118" i="3"/>
  <c r="B118" i="3"/>
  <c r="A118" i="3"/>
  <c r="L117" i="3"/>
  <c r="J117" i="3"/>
  <c r="H117" i="3"/>
  <c r="F117" i="3"/>
  <c r="D117" i="3"/>
  <c r="B117" i="3"/>
  <c r="A117" i="3"/>
  <c r="L116" i="3"/>
  <c r="J116" i="3"/>
  <c r="H116" i="3"/>
  <c r="F116" i="3"/>
  <c r="D116" i="3"/>
  <c r="B116" i="3"/>
  <c r="A116" i="3"/>
  <c r="L115" i="3"/>
  <c r="J115" i="3"/>
  <c r="H115" i="3"/>
  <c r="F115" i="3"/>
  <c r="D115" i="3"/>
  <c r="B115" i="3"/>
  <c r="A115" i="3"/>
  <c r="L114" i="3"/>
  <c r="J114" i="3"/>
  <c r="H114" i="3"/>
  <c r="F114" i="3"/>
  <c r="D114" i="3"/>
  <c r="B114" i="3"/>
  <c r="A114" i="3"/>
  <c r="L113" i="3"/>
  <c r="J113" i="3"/>
  <c r="H113" i="3"/>
  <c r="F113" i="3"/>
  <c r="D113" i="3"/>
  <c r="B113" i="3"/>
  <c r="A113" i="3"/>
  <c r="L112" i="3"/>
  <c r="J112" i="3"/>
  <c r="H112" i="3"/>
  <c r="F112" i="3"/>
  <c r="D112" i="3"/>
  <c r="B112" i="3"/>
  <c r="A112" i="3"/>
  <c r="L111" i="3"/>
  <c r="J111" i="3"/>
  <c r="H111" i="3"/>
  <c r="F111" i="3"/>
  <c r="D111" i="3"/>
  <c r="B111" i="3"/>
  <c r="A111" i="3"/>
  <c r="L110" i="3"/>
  <c r="J110" i="3"/>
  <c r="H110" i="3"/>
  <c r="F110" i="3"/>
  <c r="D110" i="3"/>
  <c r="B110" i="3"/>
  <c r="A110" i="3"/>
  <c r="L109" i="3"/>
  <c r="J109" i="3"/>
  <c r="H109" i="3"/>
  <c r="F109" i="3"/>
  <c r="D109" i="3"/>
  <c r="B109" i="3"/>
  <c r="A109" i="3"/>
  <c r="L108" i="3"/>
  <c r="J108" i="3"/>
  <c r="H108" i="3"/>
  <c r="F108" i="3"/>
  <c r="D108" i="3"/>
  <c r="B108" i="3"/>
  <c r="A108" i="3"/>
  <c r="L107" i="3"/>
  <c r="J107" i="3"/>
  <c r="H107" i="3"/>
  <c r="F107" i="3"/>
  <c r="D107" i="3"/>
  <c r="B107" i="3"/>
  <c r="A107" i="3"/>
  <c r="L106" i="3"/>
  <c r="J106" i="3"/>
  <c r="H106" i="3"/>
  <c r="F106" i="3"/>
  <c r="D106" i="3"/>
  <c r="B106" i="3"/>
  <c r="A106" i="3"/>
  <c r="L105" i="3"/>
  <c r="J105" i="3"/>
  <c r="H105" i="3"/>
  <c r="F105" i="3"/>
  <c r="D105" i="3"/>
  <c r="B105" i="3"/>
  <c r="A105" i="3"/>
  <c r="L104" i="3"/>
  <c r="J104" i="3"/>
  <c r="H104" i="3"/>
  <c r="F104" i="3"/>
  <c r="D104" i="3"/>
  <c r="B104" i="3"/>
  <c r="A104" i="3"/>
  <c r="L103" i="3"/>
  <c r="J103" i="3"/>
  <c r="H103" i="3"/>
  <c r="F103" i="3"/>
  <c r="D103" i="3"/>
  <c r="B103" i="3"/>
  <c r="A103" i="3"/>
  <c r="L102" i="3"/>
  <c r="J102" i="3"/>
  <c r="H102" i="3"/>
  <c r="F102" i="3"/>
  <c r="D102" i="3"/>
  <c r="B102" i="3"/>
  <c r="A102" i="3"/>
  <c r="L101" i="3"/>
  <c r="K101" i="3"/>
  <c r="J101" i="3"/>
  <c r="I101" i="3"/>
  <c r="H101" i="3"/>
  <c r="G101" i="3"/>
  <c r="F101" i="3"/>
  <c r="E101" i="3"/>
  <c r="D101" i="3"/>
  <c r="C101" i="3"/>
  <c r="B101" i="3"/>
  <c r="A101" i="3"/>
  <c r="L100" i="3"/>
  <c r="J100" i="3"/>
  <c r="H100" i="3"/>
  <c r="F100" i="3"/>
  <c r="D100" i="3"/>
  <c r="B100" i="3"/>
  <c r="A100" i="3"/>
  <c r="L99" i="3"/>
  <c r="J99" i="3"/>
  <c r="H99" i="3"/>
  <c r="F99" i="3"/>
  <c r="D99" i="3"/>
  <c r="B99" i="3"/>
  <c r="A99" i="3"/>
  <c r="L98" i="3"/>
  <c r="J98" i="3"/>
  <c r="H98" i="3"/>
  <c r="F98" i="3"/>
  <c r="D98" i="3"/>
  <c r="B98" i="3"/>
  <c r="A98" i="3"/>
  <c r="L97" i="3"/>
  <c r="J97" i="3"/>
  <c r="H97" i="3"/>
  <c r="F97" i="3"/>
  <c r="D97" i="3"/>
  <c r="B97" i="3"/>
  <c r="A97" i="3"/>
  <c r="L96" i="3"/>
  <c r="J96" i="3"/>
  <c r="H96" i="3"/>
  <c r="F96" i="3"/>
  <c r="D96" i="3"/>
  <c r="B96" i="3"/>
  <c r="A96" i="3"/>
  <c r="L95" i="3"/>
  <c r="J95" i="3"/>
  <c r="H95" i="3"/>
  <c r="F95" i="3"/>
  <c r="D95" i="3"/>
  <c r="B95" i="3"/>
  <c r="A95" i="3"/>
  <c r="L94" i="3"/>
  <c r="J94" i="3"/>
  <c r="H94" i="3"/>
  <c r="F94" i="3"/>
  <c r="D94" i="3"/>
  <c r="B94" i="3"/>
  <c r="A94" i="3"/>
  <c r="L93" i="3"/>
  <c r="J93" i="3"/>
  <c r="H93" i="3"/>
  <c r="F93" i="3"/>
  <c r="D93" i="3"/>
  <c r="B93" i="3"/>
  <c r="A93" i="3"/>
  <c r="L92" i="3"/>
  <c r="J92" i="3"/>
  <c r="H92" i="3"/>
  <c r="F92" i="3"/>
  <c r="D92" i="3"/>
  <c r="B92" i="3"/>
  <c r="A92" i="3"/>
  <c r="L91" i="3"/>
  <c r="J91" i="3"/>
  <c r="H91" i="3"/>
  <c r="F91" i="3"/>
  <c r="D91" i="3"/>
  <c r="B91" i="3"/>
  <c r="A91" i="3"/>
  <c r="L90" i="3"/>
  <c r="J90" i="3"/>
  <c r="H90" i="3"/>
  <c r="F90" i="3"/>
  <c r="D90" i="3"/>
  <c r="B90" i="3"/>
  <c r="A90" i="3"/>
  <c r="L89" i="3"/>
  <c r="J89" i="3"/>
  <c r="H89" i="3"/>
  <c r="F89" i="3"/>
  <c r="D89" i="3"/>
  <c r="B89" i="3"/>
  <c r="A89" i="3"/>
  <c r="L88" i="3"/>
  <c r="J88" i="3"/>
  <c r="H88" i="3"/>
  <c r="F88" i="3"/>
  <c r="D88" i="3"/>
  <c r="B88" i="3"/>
  <c r="A88" i="3"/>
  <c r="L87" i="3"/>
  <c r="J87" i="3"/>
  <c r="H87" i="3"/>
  <c r="F87" i="3"/>
  <c r="D87" i="3"/>
  <c r="B87" i="3"/>
  <c r="A87" i="3"/>
  <c r="L86" i="3"/>
  <c r="J86" i="3"/>
  <c r="H86" i="3"/>
  <c r="F86" i="3"/>
  <c r="D86" i="3"/>
  <c r="B86" i="3"/>
  <c r="A86" i="3"/>
  <c r="L85" i="3"/>
  <c r="J85" i="3"/>
  <c r="H85" i="3"/>
  <c r="F85" i="3"/>
  <c r="D85" i="3"/>
  <c r="B85" i="3"/>
  <c r="A85" i="3"/>
  <c r="L84" i="3"/>
  <c r="J84" i="3"/>
  <c r="H84" i="3"/>
  <c r="F84" i="3"/>
  <c r="D84" i="3"/>
  <c r="B84" i="3"/>
  <c r="A84" i="3"/>
  <c r="L83" i="3"/>
  <c r="J83" i="3"/>
  <c r="H83" i="3"/>
  <c r="F83" i="3"/>
  <c r="D83" i="3"/>
  <c r="B83" i="3"/>
  <c r="A83" i="3"/>
  <c r="L82" i="3"/>
  <c r="J82" i="3"/>
  <c r="H82" i="3"/>
  <c r="F82" i="3"/>
  <c r="D82" i="3"/>
  <c r="B82" i="3"/>
  <c r="A82" i="3"/>
  <c r="L81" i="3"/>
  <c r="J81" i="3"/>
  <c r="H81" i="3"/>
  <c r="F81" i="3"/>
  <c r="D81" i="3"/>
  <c r="B81" i="3"/>
  <c r="A81" i="3"/>
  <c r="L80" i="3"/>
  <c r="J80" i="3"/>
  <c r="H80" i="3"/>
  <c r="F80" i="3"/>
  <c r="D80" i="3"/>
  <c r="B80" i="3"/>
  <c r="A80" i="3"/>
  <c r="L79" i="3"/>
  <c r="J79" i="3"/>
  <c r="H79" i="3"/>
  <c r="F79" i="3"/>
  <c r="D79" i="3"/>
  <c r="B79" i="3"/>
  <c r="A79" i="3"/>
  <c r="L78" i="3"/>
  <c r="J78" i="3"/>
  <c r="H78" i="3"/>
  <c r="F78" i="3"/>
  <c r="D78" i="3"/>
  <c r="B78" i="3"/>
  <c r="A78" i="3"/>
  <c r="L77" i="3"/>
  <c r="K77" i="3"/>
  <c r="J77" i="3"/>
  <c r="I77" i="3"/>
  <c r="H77" i="3"/>
  <c r="G77" i="3"/>
  <c r="F77" i="3"/>
  <c r="E77" i="3"/>
  <c r="D77" i="3"/>
  <c r="C77" i="3"/>
  <c r="B77" i="3"/>
  <c r="A77" i="3"/>
  <c r="L76" i="3"/>
  <c r="J76" i="3"/>
  <c r="H76" i="3"/>
  <c r="F76" i="3"/>
  <c r="D76" i="3"/>
  <c r="B76" i="3"/>
  <c r="A76" i="3"/>
  <c r="L75" i="3"/>
  <c r="J75" i="3"/>
  <c r="H75" i="3"/>
  <c r="F75" i="3"/>
  <c r="D75" i="3"/>
  <c r="B75" i="3"/>
  <c r="A75" i="3"/>
  <c r="L74" i="3"/>
  <c r="J74" i="3"/>
  <c r="H74" i="3"/>
  <c r="F74" i="3"/>
  <c r="D74" i="3"/>
  <c r="B74" i="3"/>
  <c r="A74" i="3"/>
  <c r="L73" i="3"/>
  <c r="J73" i="3"/>
  <c r="H73" i="3"/>
  <c r="F73" i="3"/>
  <c r="D73" i="3"/>
  <c r="B73" i="3"/>
  <c r="A73" i="3"/>
  <c r="L72" i="3"/>
  <c r="J72" i="3"/>
  <c r="H72" i="3"/>
  <c r="F72" i="3"/>
  <c r="D72" i="3"/>
  <c r="B72" i="3"/>
  <c r="A72" i="3"/>
  <c r="L71" i="3"/>
  <c r="J71" i="3"/>
  <c r="H71" i="3"/>
  <c r="F71" i="3"/>
  <c r="D71" i="3"/>
  <c r="B71" i="3"/>
  <c r="A71" i="3"/>
  <c r="L70" i="3"/>
  <c r="J70" i="3"/>
  <c r="H70" i="3"/>
  <c r="F70" i="3"/>
  <c r="D70" i="3"/>
  <c r="B70" i="3"/>
  <c r="A70" i="3"/>
  <c r="L69" i="3"/>
  <c r="J69" i="3"/>
  <c r="H69" i="3"/>
  <c r="F69" i="3"/>
  <c r="D69" i="3"/>
  <c r="B69" i="3"/>
  <c r="A69" i="3"/>
  <c r="L68" i="3"/>
  <c r="J68" i="3"/>
  <c r="H68" i="3"/>
  <c r="F68" i="3"/>
  <c r="D68" i="3"/>
  <c r="B68" i="3"/>
  <c r="A68" i="3"/>
  <c r="L67" i="3"/>
  <c r="J67" i="3"/>
  <c r="H67" i="3"/>
  <c r="F67" i="3"/>
  <c r="D67" i="3"/>
  <c r="B67" i="3"/>
  <c r="A67" i="3"/>
  <c r="L66" i="3"/>
  <c r="J66" i="3"/>
  <c r="H66" i="3"/>
  <c r="F66" i="3"/>
  <c r="D66" i="3"/>
  <c r="B66" i="3"/>
  <c r="A66" i="3"/>
  <c r="L65" i="3"/>
  <c r="J65" i="3"/>
  <c r="H65" i="3"/>
  <c r="F65" i="3"/>
  <c r="D65" i="3"/>
  <c r="B65" i="3"/>
  <c r="A65" i="3"/>
  <c r="L64" i="3"/>
  <c r="J64" i="3"/>
  <c r="H64" i="3"/>
  <c r="F64" i="3"/>
  <c r="D64" i="3"/>
  <c r="B64" i="3"/>
  <c r="A64" i="3"/>
  <c r="L63" i="3"/>
  <c r="J63" i="3"/>
  <c r="H63" i="3"/>
  <c r="F63" i="3"/>
  <c r="D63" i="3"/>
  <c r="B63" i="3"/>
  <c r="A63" i="3"/>
  <c r="L62" i="3"/>
  <c r="J62" i="3"/>
  <c r="H62" i="3"/>
  <c r="F62" i="3"/>
  <c r="D62" i="3"/>
  <c r="B62" i="3"/>
  <c r="A62" i="3"/>
  <c r="L61" i="3"/>
  <c r="J61" i="3"/>
  <c r="H61" i="3"/>
  <c r="F61" i="3"/>
  <c r="D61" i="3"/>
  <c r="B61" i="3"/>
  <c r="A61" i="3"/>
  <c r="L60" i="3"/>
  <c r="J60" i="3"/>
  <c r="H60" i="3"/>
  <c r="F60" i="3"/>
  <c r="D60" i="3"/>
  <c r="B60" i="3"/>
  <c r="A60" i="3"/>
  <c r="L59" i="3"/>
  <c r="J59" i="3"/>
  <c r="H59" i="3"/>
  <c r="F59" i="3"/>
  <c r="D59" i="3"/>
  <c r="B59" i="3"/>
  <c r="A59" i="3"/>
  <c r="L58" i="3"/>
  <c r="J58" i="3"/>
  <c r="H58" i="3"/>
  <c r="F58" i="3"/>
  <c r="D58" i="3"/>
  <c r="B58" i="3"/>
  <c r="A58" i="3"/>
  <c r="L57" i="3"/>
  <c r="J57" i="3"/>
  <c r="H57" i="3"/>
  <c r="F57" i="3"/>
  <c r="D57" i="3"/>
  <c r="B57" i="3"/>
  <c r="A57" i="3"/>
  <c r="L56" i="3"/>
  <c r="J56" i="3"/>
  <c r="H56" i="3"/>
  <c r="F56" i="3"/>
  <c r="D56" i="3"/>
  <c r="B56" i="3"/>
  <c r="A56" i="3"/>
  <c r="L55" i="3"/>
  <c r="J55" i="3"/>
  <c r="H55" i="3"/>
  <c r="F55" i="3"/>
  <c r="D55" i="3"/>
  <c r="B55" i="3"/>
  <c r="A55" i="3"/>
  <c r="L54" i="3"/>
  <c r="J54" i="3"/>
  <c r="H54" i="3"/>
  <c r="F54" i="3"/>
  <c r="D54" i="3"/>
  <c r="B54" i="3"/>
  <c r="A54" i="3"/>
  <c r="L53" i="3"/>
  <c r="K53" i="3"/>
  <c r="J53" i="3"/>
  <c r="I53" i="3"/>
  <c r="H53" i="3"/>
  <c r="G53" i="3"/>
  <c r="F53" i="3"/>
  <c r="E53" i="3"/>
  <c r="D53" i="3"/>
  <c r="C53" i="3"/>
  <c r="B53" i="3"/>
  <c r="A53" i="3"/>
  <c r="L52" i="3"/>
  <c r="J52" i="3"/>
  <c r="H52" i="3"/>
  <c r="F52" i="3"/>
  <c r="D52" i="3"/>
  <c r="B52" i="3"/>
  <c r="A52" i="3"/>
  <c r="L51" i="3"/>
  <c r="J51" i="3"/>
  <c r="H51" i="3"/>
  <c r="F51" i="3"/>
  <c r="D51" i="3"/>
  <c r="B51" i="3"/>
  <c r="A51" i="3"/>
  <c r="L50" i="3"/>
  <c r="J50" i="3"/>
  <c r="H50" i="3"/>
  <c r="F50" i="3"/>
  <c r="D50" i="3"/>
  <c r="B50" i="3"/>
  <c r="A50" i="3"/>
  <c r="L49" i="3"/>
  <c r="J49" i="3"/>
  <c r="H49" i="3"/>
  <c r="F49" i="3"/>
  <c r="D49" i="3"/>
  <c r="B49" i="3"/>
  <c r="A49" i="3"/>
  <c r="L48" i="3"/>
  <c r="J48" i="3"/>
  <c r="H48" i="3"/>
  <c r="F48" i="3"/>
  <c r="D48" i="3"/>
  <c r="B48" i="3"/>
  <c r="A48" i="3"/>
  <c r="L47" i="3"/>
  <c r="J47" i="3"/>
  <c r="H47" i="3"/>
  <c r="F47" i="3"/>
  <c r="D47" i="3"/>
  <c r="B47" i="3"/>
  <c r="A47" i="3"/>
  <c r="L46" i="3"/>
  <c r="J46" i="3"/>
  <c r="H46" i="3"/>
  <c r="F46" i="3"/>
  <c r="D46" i="3"/>
  <c r="B46" i="3"/>
  <c r="A46" i="3"/>
  <c r="L45" i="3"/>
  <c r="J45" i="3"/>
  <c r="H45" i="3"/>
  <c r="F45" i="3"/>
  <c r="D45" i="3"/>
  <c r="B45" i="3"/>
  <c r="A45" i="3"/>
  <c r="L44" i="3"/>
  <c r="J44" i="3"/>
  <c r="H44" i="3"/>
  <c r="F44" i="3"/>
  <c r="D44" i="3"/>
  <c r="B44" i="3"/>
  <c r="A44" i="3"/>
  <c r="L43" i="3"/>
  <c r="J43" i="3"/>
  <c r="H43" i="3"/>
  <c r="F43" i="3"/>
  <c r="D43" i="3"/>
  <c r="B43" i="3"/>
  <c r="A43" i="3"/>
  <c r="L42" i="3"/>
  <c r="J42" i="3"/>
  <c r="H42" i="3"/>
  <c r="F42" i="3"/>
  <c r="D42" i="3"/>
  <c r="B42" i="3"/>
  <c r="A42" i="3"/>
  <c r="L41" i="3"/>
  <c r="J41" i="3"/>
  <c r="H41" i="3"/>
  <c r="F41" i="3"/>
  <c r="D41" i="3"/>
  <c r="B41" i="3"/>
  <c r="A41" i="3"/>
  <c r="L40" i="3"/>
  <c r="J40" i="3"/>
  <c r="H40" i="3"/>
  <c r="F40" i="3"/>
  <c r="D40" i="3"/>
  <c r="B40" i="3"/>
  <c r="A40" i="3"/>
  <c r="L39" i="3"/>
  <c r="J39" i="3"/>
  <c r="H39" i="3"/>
  <c r="F39" i="3"/>
  <c r="D39" i="3"/>
  <c r="B39" i="3"/>
  <c r="A39" i="3"/>
  <c r="L38" i="3"/>
  <c r="J38" i="3"/>
  <c r="H38" i="3"/>
  <c r="F38" i="3"/>
  <c r="D38" i="3"/>
  <c r="B38" i="3"/>
  <c r="A38" i="3"/>
  <c r="L37" i="3"/>
  <c r="J37" i="3"/>
  <c r="H37" i="3"/>
  <c r="F37" i="3"/>
  <c r="D37" i="3"/>
  <c r="B37" i="3"/>
  <c r="A37" i="3"/>
  <c r="L36" i="3"/>
  <c r="J36" i="3"/>
  <c r="H36" i="3"/>
  <c r="F36" i="3"/>
  <c r="D36" i="3"/>
  <c r="B36" i="3"/>
  <c r="A36" i="3"/>
  <c r="L35" i="3"/>
  <c r="J35" i="3"/>
  <c r="H35" i="3"/>
  <c r="F35" i="3"/>
  <c r="D35" i="3"/>
  <c r="B35" i="3"/>
  <c r="A35" i="3"/>
  <c r="L34" i="3"/>
  <c r="J34" i="3"/>
  <c r="H34" i="3"/>
  <c r="F34" i="3"/>
  <c r="D34" i="3"/>
  <c r="B34" i="3"/>
  <c r="A34" i="3"/>
  <c r="L33" i="3"/>
  <c r="J33" i="3"/>
  <c r="H33" i="3"/>
  <c r="F33" i="3"/>
  <c r="D33" i="3"/>
  <c r="B33" i="3"/>
  <c r="A33" i="3"/>
  <c r="L32" i="3"/>
  <c r="J32" i="3"/>
  <c r="H32" i="3"/>
  <c r="F32" i="3"/>
  <c r="D32" i="3"/>
  <c r="B32" i="3"/>
  <c r="A32" i="3"/>
  <c r="L31" i="3"/>
  <c r="J31" i="3"/>
  <c r="H31" i="3"/>
  <c r="F31" i="3"/>
  <c r="D31" i="3"/>
  <c r="B31" i="3"/>
  <c r="A31" i="3"/>
  <c r="L30" i="3"/>
  <c r="J30" i="3"/>
  <c r="H30" i="3"/>
  <c r="F30" i="3"/>
  <c r="D30" i="3"/>
  <c r="B30" i="3"/>
  <c r="A30" i="3"/>
  <c r="L29" i="3"/>
  <c r="K29" i="3"/>
  <c r="J29" i="3"/>
  <c r="I29" i="3"/>
  <c r="H29" i="3"/>
  <c r="G29" i="3"/>
  <c r="F29" i="3"/>
  <c r="E29" i="3"/>
  <c r="D29" i="3"/>
  <c r="C29" i="3"/>
  <c r="B29" i="3"/>
  <c r="A29" i="3"/>
  <c r="L28" i="3"/>
  <c r="J28" i="3"/>
  <c r="H28" i="3"/>
  <c r="F28" i="3"/>
  <c r="D28" i="3"/>
  <c r="B28" i="3"/>
  <c r="A28" i="3"/>
  <c r="L27" i="3"/>
  <c r="J27" i="3"/>
  <c r="H27" i="3"/>
  <c r="F27" i="3"/>
  <c r="D27" i="3"/>
  <c r="B27" i="3"/>
  <c r="A27" i="3"/>
  <c r="L26" i="3"/>
  <c r="J26" i="3"/>
  <c r="H26" i="3"/>
  <c r="F26" i="3"/>
  <c r="D26" i="3"/>
  <c r="B26" i="3"/>
  <c r="A26" i="3"/>
  <c r="L25" i="3"/>
  <c r="J25" i="3"/>
  <c r="H25" i="3"/>
  <c r="F25" i="3"/>
  <c r="D25" i="3"/>
  <c r="B25" i="3"/>
  <c r="A25" i="3"/>
  <c r="L24" i="3"/>
  <c r="J24" i="3"/>
  <c r="H24" i="3"/>
  <c r="F24" i="3"/>
  <c r="D24" i="3"/>
  <c r="B24" i="3"/>
  <c r="A24" i="3"/>
  <c r="L23" i="3"/>
  <c r="J23" i="3"/>
  <c r="H23" i="3"/>
  <c r="F23" i="3"/>
  <c r="D23" i="3"/>
  <c r="B23" i="3"/>
  <c r="A23" i="3"/>
  <c r="L22" i="3"/>
  <c r="J22" i="3"/>
  <c r="H22" i="3"/>
  <c r="F22" i="3"/>
  <c r="D22" i="3"/>
  <c r="B22" i="3"/>
  <c r="A22" i="3"/>
  <c r="L21" i="3"/>
  <c r="J21" i="3"/>
  <c r="H21" i="3"/>
  <c r="F21" i="3"/>
  <c r="D21" i="3"/>
  <c r="B21" i="3"/>
  <c r="A21" i="3"/>
  <c r="L20" i="3"/>
  <c r="J20" i="3"/>
  <c r="H20" i="3"/>
  <c r="F20" i="3"/>
  <c r="D20" i="3"/>
  <c r="B20" i="3"/>
  <c r="A20" i="3"/>
  <c r="L19" i="3"/>
  <c r="J19" i="3"/>
  <c r="H19" i="3"/>
  <c r="F19" i="3"/>
  <c r="D19" i="3"/>
  <c r="B19" i="3"/>
  <c r="A19" i="3"/>
  <c r="L18" i="3"/>
  <c r="J18" i="3"/>
  <c r="H18" i="3"/>
  <c r="F18" i="3"/>
  <c r="D18" i="3"/>
  <c r="B18" i="3"/>
  <c r="A18" i="3"/>
  <c r="L17" i="3"/>
  <c r="J17" i="3"/>
  <c r="H17" i="3"/>
  <c r="F17" i="3"/>
  <c r="D17" i="3"/>
  <c r="B17" i="3"/>
  <c r="A17" i="3"/>
  <c r="L16" i="3"/>
  <c r="J16" i="3"/>
  <c r="H16" i="3"/>
  <c r="F16" i="3"/>
  <c r="D16" i="3"/>
  <c r="B16" i="3"/>
  <c r="A16" i="3"/>
  <c r="B15" i="3"/>
  <c r="A15" i="3"/>
  <c r="B14" i="3"/>
  <c r="A14" i="3"/>
  <c r="B13" i="3"/>
  <c r="A13" i="3"/>
  <c r="L12" i="3"/>
  <c r="J12" i="3"/>
  <c r="H12" i="3"/>
  <c r="F12" i="3"/>
  <c r="D12" i="3"/>
  <c r="B12" i="3"/>
  <c r="A12" i="3"/>
  <c r="L11" i="3"/>
  <c r="J11" i="3"/>
  <c r="H11" i="3"/>
  <c r="F11" i="3"/>
  <c r="D11" i="3"/>
  <c r="B11" i="3"/>
  <c r="A11" i="3"/>
  <c r="L10" i="3"/>
  <c r="J10" i="3"/>
  <c r="H10" i="3"/>
  <c r="F10" i="3"/>
  <c r="D10" i="3"/>
  <c r="B10" i="3"/>
  <c r="A10" i="3"/>
  <c r="L9" i="3"/>
  <c r="J9" i="3"/>
  <c r="H9" i="3"/>
  <c r="F9" i="3"/>
  <c r="D9" i="3"/>
  <c r="B9" i="3"/>
  <c r="A9" i="3"/>
  <c r="L8" i="3"/>
  <c r="J8" i="3"/>
  <c r="H8" i="3"/>
  <c r="F8" i="3"/>
  <c r="D8" i="3"/>
  <c r="B8" i="3"/>
  <c r="A8" i="3"/>
  <c r="L7" i="3"/>
  <c r="J7" i="3"/>
  <c r="H7" i="3"/>
  <c r="F7" i="3"/>
  <c r="D7" i="3"/>
  <c r="B7" i="3"/>
  <c r="A7" i="3"/>
  <c r="L6" i="3"/>
  <c r="J6" i="3"/>
  <c r="H6" i="3"/>
  <c r="F6" i="3"/>
  <c r="D6" i="3"/>
  <c r="B6" i="3"/>
  <c r="A6" i="3"/>
  <c r="L5" i="3"/>
  <c r="K5" i="3"/>
  <c r="J5" i="3"/>
  <c r="I5" i="3"/>
  <c r="H5" i="3"/>
  <c r="G5" i="3"/>
  <c r="F5" i="3"/>
  <c r="E5" i="3"/>
  <c r="D5" i="3"/>
  <c r="C5" i="3"/>
  <c r="B5" i="3"/>
  <c r="A5" i="3"/>
  <c r="L4" i="3"/>
  <c r="K4" i="3"/>
  <c r="J4" i="3"/>
  <c r="I4" i="3"/>
  <c r="H4" i="3"/>
  <c r="G4" i="3"/>
  <c r="F4" i="3"/>
  <c r="E4" i="3"/>
  <c r="D4" i="3"/>
  <c r="C4" i="3"/>
  <c r="L3" i="3"/>
  <c r="K3" i="3"/>
  <c r="J3" i="3"/>
  <c r="I3" i="3"/>
  <c r="H3" i="3"/>
  <c r="G3" i="3"/>
  <c r="F3" i="3"/>
  <c r="E3" i="3"/>
  <c r="D3" i="3"/>
  <c r="C3" i="3"/>
  <c r="K2" i="3"/>
  <c r="E2" i="3"/>
  <c r="C2" i="3"/>
  <c r="C1" i="3"/>
  <c r="B1" i="3"/>
  <c r="A1" i="3"/>
  <c r="P337" i="2"/>
  <c r="N337" i="2"/>
  <c r="L337" i="2"/>
  <c r="J337" i="2"/>
  <c r="H337" i="2"/>
  <c r="F337" i="2"/>
  <c r="B337" i="2"/>
  <c r="A337" i="2"/>
  <c r="R336" i="2"/>
  <c r="P336" i="2"/>
  <c r="N336" i="2"/>
  <c r="L336" i="2"/>
  <c r="J336" i="2"/>
  <c r="H336" i="2"/>
  <c r="F336" i="2"/>
  <c r="D336" i="2"/>
  <c r="B336" i="2"/>
  <c r="A336" i="2"/>
  <c r="R335" i="2"/>
  <c r="P335" i="2"/>
  <c r="N335" i="2"/>
  <c r="L335" i="2"/>
  <c r="J335" i="2"/>
  <c r="H335" i="2"/>
  <c r="F335" i="2"/>
  <c r="D335" i="2"/>
  <c r="B335" i="2"/>
  <c r="A335" i="2"/>
  <c r="R334" i="2"/>
  <c r="P334" i="2"/>
  <c r="N334" i="2"/>
  <c r="L334" i="2"/>
  <c r="J334" i="2"/>
  <c r="H334" i="2"/>
  <c r="F334" i="2"/>
  <c r="D334" i="2"/>
  <c r="B334" i="2"/>
  <c r="A334" i="2"/>
  <c r="R333" i="2"/>
  <c r="P333" i="2"/>
  <c r="N333" i="2"/>
  <c r="L333" i="2"/>
  <c r="J333" i="2"/>
  <c r="H333" i="2"/>
  <c r="F333" i="2"/>
  <c r="D333" i="2"/>
  <c r="B333" i="2"/>
  <c r="A333" i="2"/>
  <c r="R332" i="2"/>
  <c r="P332" i="2"/>
  <c r="N332" i="2"/>
  <c r="L332" i="2"/>
  <c r="J332" i="2"/>
  <c r="H332" i="2"/>
  <c r="F332" i="2"/>
  <c r="D332" i="2"/>
  <c r="B332" i="2"/>
  <c r="A332" i="2"/>
  <c r="R331" i="2"/>
  <c r="P331" i="2"/>
  <c r="N331" i="2"/>
  <c r="L331" i="2"/>
  <c r="J331" i="2"/>
  <c r="H331" i="2"/>
  <c r="F331" i="2"/>
  <c r="D331" i="2"/>
  <c r="B331" i="2"/>
  <c r="A331" i="2"/>
  <c r="R330" i="2"/>
  <c r="P330" i="2"/>
  <c r="N330" i="2"/>
  <c r="L330" i="2"/>
  <c r="J330" i="2"/>
  <c r="H330" i="2"/>
  <c r="F330" i="2"/>
  <c r="D330" i="2"/>
  <c r="B330" i="2"/>
  <c r="A330" i="2"/>
  <c r="R329" i="2"/>
  <c r="P329" i="2"/>
  <c r="N329" i="2"/>
  <c r="L329" i="2"/>
  <c r="J329" i="2"/>
  <c r="H329" i="2"/>
  <c r="F329" i="2"/>
  <c r="D329" i="2"/>
  <c r="B329" i="2"/>
  <c r="A329" i="2"/>
  <c r="R328" i="2"/>
  <c r="P328" i="2"/>
  <c r="N328" i="2"/>
  <c r="L328" i="2"/>
  <c r="J328" i="2"/>
  <c r="H328" i="2"/>
  <c r="F328" i="2"/>
  <c r="D328" i="2"/>
  <c r="B328" i="2"/>
  <c r="A328" i="2"/>
  <c r="R327" i="2"/>
  <c r="P327" i="2"/>
  <c r="N327" i="2"/>
  <c r="L327" i="2"/>
  <c r="J327" i="2"/>
  <c r="H327" i="2"/>
  <c r="F327" i="2"/>
  <c r="D327" i="2"/>
  <c r="B327" i="2"/>
  <c r="A327" i="2"/>
  <c r="R326" i="2"/>
  <c r="P326" i="2"/>
  <c r="N326" i="2"/>
  <c r="L326" i="2"/>
  <c r="J326" i="2"/>
  <c r="H326" i="2"/>
  <c r="F326" i="2"/>
  <c r="D326" i="2"/>
  <c r="B326" i="2"/>
  <c r="A326" i="2"/>
  <c r="R325" i="2"/>
  <c r="P325" i="2"/>
  <c r="N325" i="2"/>
  <c r="L325" i="2"/>
  <c r="J325" i="2"/>
  <c r="H325" i="2"/>
  <c r="F325" i="2"/>
  <c r="D325" i="2"/>
  <c r="B325" i="2"/>
  <c r="A325" i="2"/>
  <c r="R324" i="2"/>
  <c r="P324" i="2"/>
  <c r="N324" i="2"/>
  <c r="L324" i="2"/>
  <c r="J324" i="2"/>
  <c r="H324" i="2"/>
  <c r="F324" i="2"/>
  <c r="D324" i="2"/>
  <c r="B324" i="2"/>
  <c r="A324" i="2"/>
  <c r="R323" i="2"/>
  <c r="P323" i="2"/>
  <c r="N323" i="2"/>
  <c r="L323" i="2"/>
  <c r="J323" i="2"/>
  <c r="H323" i="2"/>
  <c r="F323" i="2"/>
  <c r="D323" i="2"/>
  <c r="B323" i="2"/>
  <c r="A323" i="2"/>
  <c r="R322" i="2"/>
  <c r="P322" i="2"/>
  <c r="N322" i="2"/>
  <c r="L322" i="2"/>
  <c r="J322" i="2"/>
  <c r="H322" i="2"/>
  <c r="F322" i="2"/>
  <c r="D322" i="2"/>
  <c r="B322" i="2"/>
  <c r="A322" i="2"/>
  <c r="R321" i="2"/>
  <c r="P321" i="2"/>
  <c r="N321" i="2"/>
  <c r="L321" i="2"/>
  <c r="J321" i="2"/>
  <c r="H321" i="2"/>
  <c r="F321" i="2"/>
  <c r="D321" i="2"/>
  <c r="B321" i="2"/>
  <c r="A321" i="2"/>
  <c r="R320" i="2"/>
  <c r="P320" i="2"/>
  <c r="N320" i="2"/>
  <c r="L320" i="2"/>
  <c r="J320" i="2"/>
  <c r="H320" i="2"/>
  <c r="F320" i="2"/>
  <c r="D320" i="2"/>
  <c r="B320" i="2"/>
  <c r="A320" i="2"/>
  <c r="R319" i="2"/>
  <c r="P319" i="2"/>
  <c r="N319" i="2"/>
  <c r="L319" i="2"/>
  <c r="J319" i="2"/>
  <c r="H319" i="2"/>
  <c r="F319" i="2"/>
  <c r="D319" i="2"/>
  <c r="B319" i="2"/>
  <c r="A319" i="2"/>
  <c r="R318" i="2"/>
  <c r="P318" i="2"/>
  <c r="N318" i="2"/>
  <c r="L318" i="2"/>
  <c r="J318" i="2"/>
  <c r="H318" i="2"/>
  <c r="F318" i="2"/>
  <c r="D318" i="2"/>
  <c r="B318" i="2"/>
  <c r="A318" i="2"/>
  <c r="P317" i="2"/>
  <c r="N317" i="2"/>
  <c r="L317" i="2"/>
  <c r="J317" i="2"/>
  <c r="H317" i="2"/>
  <c r="F317" i="2"/>
  <c r="B317" i="2"/>
  <c r="A317" i="2"/>
  <c r="R316" i="2"/>
  <c r="P316" i="2"/>
  <c r="N316" i="2"/>
  <c r="L316" i="2"/>
  <c r="J316" i="2"/>
  <c r="H316" i="2"/>
  <c r="F316" i="2"/>
  <c r="D316" i="2"/>
  <c r="B316" i="2"/>
  <c r="A316" i="2"/>
  <c r="R315" i="2"/>
  <c r="P315" i="2"/>
  <c r="N315" i="2"/>
  <c r="L315" i="2"/>
  <c r="J315" i="2"/>
  <c r="H315" i="2"/>
  <c r="F315" i="2"/>
  <c r="D315" i="2"/>
  <c r="B315" i="2"/>
  <c r="A315" i="2"/>
  <c r="Q314" i="2"/>
  <c r="P314" i="2"/>
  <c r="O314" i="2"/>
  <c r="N314" i="2"/>
  <c r="M314" i="2"/>
  <c r="L314" i="2"/>
  <c r="K314" i="2"/>
  <c r="J314" i="2"/>
  <c r="I314" i="2"/>
  <c r="H314" i="2"/>
  <c r="G314" i="2"/>
  <c r="F314" i="2"/>
  <c r="E314" i="2"/>
  <c r="C314" i="2"/>
  <c r="B314" i="2"/>
  <c r="A314" i="2"/>
  <c r="R313" i="2"/>
  <c r="P313" i="2"/>
  <c r="N313" i="2"/>
  <c r="L313" i="2"/>
  <c r="J313" i="2"/>
  <c r="H313" i="2"/>
  <c r="F313" i="2"/>
  <c r="D313" i="2"/>
  <c r="B313" i="2"/>
  <c r="A313" i="2"/>
  <c r="R312" i="2"/>
  <c r="P312" i="2"/>
  <c r="N312" i="2"/>
  <c r="L312" i="2"/>
  <c r="J312" i="2"/>
  <c r="H312" i="2"/>
  <c r="F312" i="2"/>
  <c r="D312" i="2"/>
  <c r="B312" i="2"/>
  <c r="A312" i="2"/>
  <c r="R311" i="2"/>
  <c r="P311" i="2"/>
  <c r="N311" i="2"/>
  <c r="L311" i="2"/>
  <c r="J311" i="2"/>
  <c r="H311" i="2"/>
  <c r="F311" i="2"/>
  <c r="D311" i="2"/>
  <c r="B311" i="2"/>
  <c r="A311" i="2"/>
  <c r="R310" i="2"/>
  <c r="P310" i="2"/>
  <c r="N310" i="2"/>
  <c r="L310" i="2"/>
  <c r="J310" i="2"/>
  <c r="H310" i="2"/>
  <c r="F310" i="2"/>
  <c r="D310" i="2"/>
  <c r="B310" i="2"/>
  <c r="A310" i="2"/>
  <c r="R309" i="2"/>
  <c r="P309" i="2"/>
  <c r="N309" i="2"/>
  <c r="L309" i="2"/>
  <c r="J309" i="2"/>
  <c r="H309" i="2"/>
  <c r="F309" i="2"/>
  <c r="D309" i="2"/>
  <c r="B309" i="2"/>
  <c r="A309" i="2"/>
  <c r="R308" i="2"/>
  <c r="P308" i="2"/>
  <c r="N308" i="2"/>
  <c r="L308" i="2"/>
  <c r="J308" i="2"/>
  <c r="H308" i="2"/>
  <c r="F308" i="2"/>
  <c r="D308" i="2"/>
  <c r="B308" i="2"/>
  <c r="A308" i="2"/>
  <c r="R307" i="2"/>
  <c r="P307" i="2"/>
  <c r="N307" i="2"/>
  <c r="L307" i="2"/>
  <c r="J307" i="2"/>
  <c r="H307" i="2"/>
  <c r="F307" i="2"/>
  <c r="D307" i="2"/>
  <c r="B307" i="2"/>
  <c r="A307" i="2"/>
  <c r="R306" i="2"/>
  <c r="P306" i="2"/>
  <c r="N306" i="2"/>
  <c r="L306" i="2"/>
  <c r="J306" i="2"/>
  <c r="H306" i="2"/>
  <c r="F306" i="2"/>
  <c r="D306" i="2"/>
  <c r="B306" i="2"/>
  <c r="A306" i="2"/>
  <c r="R305" i="2"/>
  <c r="P305" i="2"/>
  <c r="N305" i="2"/>
  <c r="L305" i="2"/>
  <c r="J305" i="2"/>
  <c r="H305" i="2"/>
  <c r="F305" i="2"/>
  <c r="D305" i="2"/>
  <c r="B305" i="2"/>
  <c r="A305" i="2"/>
  <c r="R304" i="2"/>
  <c r="P304" i="2"/>
  <c r="N304" i="2"/>
  <c r="L304" i="2"/>
  <c r="J304" i="2"/>
  <c r="H304" i="2"/>
  <c r="F304" i="2"/>
  <c r="D304" i="2"/>
  <c r="B304" i="2"/>
  <c r="A304" i="2"/>
  <c r="R303" i="2"/>
  <c r="P303" i="2"/>
  <c r="N303" i="2"/>
  <c r="L303" i="2"/>
  <c r="J303" i="2"/>
  <c r="H303" i="2"/>
  <c r="F303" i="2"/>
  <c r="D303" i="2"/>
  <c r="B303" i="2"/>
  <c r="A303" i="2"/>
  <c r="R302" i="2"/>
  <c r="P302" i="2"/>
  <c r="N302" i="2"/>
  <c r="L302" i="2"/>
  <c r="J302" i="2"/>
  <c r="H302" i="2"/>
  <c r="F302" i="2"/>
  <c r="D302" i="2"/>
  <c r="B302" i="2"/>
  <c r="A302" i="2"/>
  <c r="R301" i="2"/>
  <c r="P301" i="2"/>
  <c r="N301" i="2"/>
  <c r="L301" i="2"/>
  <c r="J301" i="2"/>
  <c r="H301" i="2"/>
  <c r="F301" i="2"/>
  <c r="D301" i="2"/>
  <c r="B301" i="2"/>
  <c r="A301" i="2"/>
  <c r="R300" i="2"/>
  <c r="P300" i="2"/>
  <c r="N300" i="2"/>
  <c r="L300" i="2"/>
  <c r="J300" i="2"/>
  <c r="H300" i="2"/>
  <c r="F300" i="2"/>
  <c r="D300" i="2"/>
  <c r="B300" i="2"/>
  <c r="A300" i="2"/>
  <c r="R299" i="2"/>
  <c r="P299" i="2"/>
  <c r="N299" i="2"/>
  <c r="L299" i="2"/>
  <c r="J299" i="2"/>
  <c r="H299" i="2"/>
  <c r="F299" i="2"/>
  <c r="D299" i="2"/>
  <c r="B299" i="2"/>
  <c r="A299" i="2"/>
  <c r="R298" i="2"/>
  <c r="P298" i="2"/>
  <c r="N298" i="2"/>
  <c r="L298" i="2"/>
  <c r="J298" i="2"/>
  <c r="H298" i="2"/>
  <c r="F298" i="2"/>
  <c r="D298" i="2"/>
  <c r="B298" i="2"/>
  <c r="A298" i="2"/>
  <c r="R297" i="2"/>
  <c r="P297" i="2"/>
  <c r="N297" i="2"/>
  <c r="L297" i="2"/>
  <c r="J297" i="2"/>
  <c r="H297" i="2"/>
  <c r="F297" i="2"/>
  <c r="D297" i="2"/>
  <c r="B297" i="2"/>
  <c r="A297" i="2"/>
  <c r="R296" i="2"/>
  <c r="P296" i="2"/>
  <c r="N296" i="2"/>
  <c r="L296" i="2"/>
  <c r="J296" i="2"/>
  <c r="H296" i="2"/>
  <c r="F296" i="2"/>
  <c r="D296" i="2"/>
  <c r="B296" i="2"/>
  <c r="A296" i="2"/>
  <c r="R295" i="2"/>
  <c r="P295" i="2"/>
  <c r="N295" i="2"/>
  <c r="L295" i="2"/>
  <c r="J295" i="2"/>
  <c r="H295" i="2"/>
  <c r="F295" i="2"/>
  <c r="D295" i="2"/>
  <c r="B295" i="2"/>
  <c r="A295" i="2"/>
  <c r="R294" i="2"/>
  <c r="P294" i="2"/>
  <c r="N294" i="2"/>
  <c r="L294" i="2"/>
  <c r="J294" i="2"/>
  <c r="H294" i="2"/>
  <c r="F294" i="2"/>
  <c r="D294" i="2"/>
  <c r="B294" i="2"/>
  <c r="A294" i="2"/>
  <c r="R293" i="2"/>
  <c r="P293" i="2"/>
  <c r="N293" i="2"/>
  <c r="L293" i="2"/>
  <c r="J293" i="2"/>
  <c r="H293" i="2"/>
  <c r="F293" i="2"/>
  <c r="D293" i="2"/>
  <c r="B293" i="2"/>
  <c r="A293" i="2"/>
  <c r="R292" i="2"/>
  <c r="P292" i="2"/>
  <c r="N292" i="2"/>
  <c r="L292" i="2"/>
  <c r="J292" i="2"/>
  <c r="H292" i="2"/>
  <c r="F292" i="2"/>
  <c r="D292" i="2"/>
  <c r="B292" i="2"/>
  <c r="A292" i="2"/>
  <c r="R291" i="2"/>
  <c r="P291" i="2"/>
  <c r="N291" i="2"/>
  <c r="L291" i="2"/>
  <c r="J291" i="2"/>
  <c r="H291" i="2"/>
  <c r="F291" i="2"/>
  <c r="D291" i="2"/>
  <c r="B291" i="2"/>
  <c r="A291" i="2"/>
  <c r="R290" i="2"/>
  <c r="Q290" i="2"/>
  <c r="P290" i="2"/>
  <c r="O290" i="2"/>
  <c r="N290" i="2"/>
  <c r="M290" i="2"/>
  <c r="L290" i="2"/>
  <c r="K290" i="2"/>
  <c r="J290" i="2"/>
  <c r="I290" i="2"/>
  <c r="H290" i="2"/>
  <c r="G290" i="2"/>
  <c r="F290" i="2"/>
  <c r="E290" i="2"/>
  <c r="D290" i="2"/>
  <c r="C290" i="2"/>
  <c r="B290" i="2"/>
  <c r="A290" i="2"/>
  <c r="R289" i="2"/>
  <c r="P289" i="2"/>
  <c r="N289" i="2"/>
  <c r="L289" i="2"/>
  <c r="J289" i="2"/>
  <c r="H289" i="2"/>
  <c r="F289" i="2"/>
  <c r="D289" i="2"/>
  <c r="B289" i="2"/>
  <c r="A289" i="2"/>
  <c r="R288" i="2"/>
  <c r="P288" i="2"/>
  <c r="N288" i="2"/>
  <c r="L288" i="2"/>
  <c r="J288" i="2"/>
  <c r="H288" i="2"/>
  <c r="F288" i="2"/>
  <c r="D288" i="2"/>
  <c r="B288" i="2"/>
  <c r="A288" i="2"/>
  <c r="R287" i="2"/>
  <c r="P287" i="2"/>
  <c r="N287" i="2"/>
  <c r="L287" i="2"/>
  <c r="J287" i="2"/>
  <c r="H287" i="2"/>
  <c r="F287" i="2"/>
  <c r="D287" i="2"/>
  <c r="B287" i="2"/>
  <c r="A287" i="2"/>
  <c r="R286" i="2"/>
  <c r="P286" i="2"/>
  <c r="N286" i="2"/>
  <c r="L286" i="2"/>
  <c r="J286" i="2"/>
  <c r="H286" i="2"/>
  <c r="F286" i="2"/>
  <c r="D286" i="2"/>
  <c r="B286" i="2"/>
  <c r="A286" i="2"/>
  <c r="R285" i="2"/>
  <c r="P285" i="2"/>
  <c r="N285" i="2"/>
  <c r="L285" i="2"/>
  <c r="J285" i="2"/>
  <c r="H285" i="2"/>
  <c r="F285" i="2"/>
  <c r="D285" i="2"/>
  <c r="B285" i="2"/>
  <c r="A285" i="2"/>
  <c r="R284" i="2"/>
  <c r="P284" i="2"/>
  <c r="N284" i="2"/>
  <c r="L284" i="2"/>
  <c r="J284" i="2"/>
  <c r="H284" i="2"/>
  <c r="F284" i="2"/>
  <c r="D284" i="2"/>
  <c r="B284" i="2"/>
  <c r="A284" i="2"/>
  <c r="R283" i="2"/>
  <c r="P283" i="2"/>
  <c r="N283" i="2"/>
  <c r="L283" i="2"/>
  <c r="J283" i="2"/>
  <c r="H283" i="2"/>
  <c r="F283" i="2"/>
  <c r="D283" i="2"/>
  <c r="B283" i="2"/>
  <c r="A283" i="2"/>
  <c r="R282" i="2"/>
  <c r="P282" i="2"/>
  <c r="N282" i="2"/>
  <c r="L282" i="2"/>
  <c r="J282" i="2"/>
  <c r="H282" i="2"/>
  <c r="F282" i="2"/>
  <c r="D282" i="2"/>
  <c r="B282" i="2"/>
  <c r="A282" i="2"/>
  <c r="R281" i="2"/>
  <c r="P281" i="2"/>
  <c r="N281" i="2"/>
  <c r="L281" i="2"/>
  <c r="J281" i="2"/>
  <c r="H281" i="2"/>
  <c r="F281" i="2"/>
  <c r="D281" i="2"/>
  <c r="B281" i="2"/>
  <c r="A281" i="2"/>
  <c r="R280" i="2"/>
  <c r="P280" i="2"/>
  <c r="N280" i="2"/>
  <c r="L280" i="2"/>
  <c r="J280" i="2"/>
  <c r="H280" i="2"/>
  <c r="F280" i="2"/>
  <c r="D280" i="2"/>
  <c r="B280" i="2"/>
  <c r="A280" i="2"/>
  <c r="R279" i="2"/>
  <c r="P279" i="2"/>
  <c r="N279" i="2"/>
  <c r="L279" i="2"/>
  <c r="J279" i="2"/>
  <c r="H279" i="2"/>
  <c r="F279" i="2"/>
  <c r="D279" i="2"/>
  <c r="B279" i="2"/>
  <c r="A279" i="2"/>
  <c r="R278" i="2"/>
  <c r="P278" i="2"/>
  <c r="N278" i="2"/>
  <c r="L278" i="2"/>
  <c r="J278" i="2"/>
  <c r="H278" i="2"/>
  <c r="F278" i="2"/>
  <c r="D278" i="2"/>
  <c r="B278" i="2"/>
  <c r="A278" i="2"/>
  <c r="R277" i="2"/>
  <c r="P277" i="2"/>
  <c r="N277" i="2"/>
  <c r="L277" i="2"/>
  <c r="J277" i="2"/>
  <c r="H277" i="2"/>
  <c r="F277" i="2"/>
  <c r="D277" i="2"/>
  <c r="B277" i="2"/>
  <c r="A277" i="2"/>
  <c r="R276" i="2"/>
  <c r="P276" i="2"/>
  <c r="N276" i="2"/>
  <c r="L276" i="2"/>
  <c r="J276" i="2"/>
  <c r="H276" i="2"/>
  <c r="F276" i="2"/>
  <c r="D276" i="2"/>
  <c r="B276" i="2"/>
  <c r="A276" i="2"/>
  <c r="R275" i="2"/>
  <c r="P275" i="2"/>
  <c r="N275" i="2"/>
  <c r="L275" i="2"/>
  <c r="J275" i="2"/>
  <c r="H275" i="2"/>
  <c r="F275" i="2"/>
  <c r="D275" i="2"/>
  <c r="B275" i="2"/>
  <c r="A275" i="2"/>
  <c r="R274" i="2"/>
  <c r="P274" i="2"/>
  <c r="N274" i="2"/>
  <c r="L274" i="2"/>
  <c r="J274" i="2"/>
  <c r="H274" i="2"/>
  <c r="F274" i="2"/>
  <c r="D274" i="2"/>
  <c r="B274" i="2"/>
  <c r="A274" i="2"/>
  <c r="R273" i="2"/>
  <c r="P273" i="2"/>
  <c r="N273" i="2"/>
  <c r="L273" i="2"/>
  <c r="J273" i="2"/>
  <c r="H273" i="2"/>
  <c r="F273" i="2"/>
  <c r="D273" i="2"/>
  <c r="B273" i="2"/>
  <c r="A273" i="2"/>
  <c r="R272" i="2"/>
  <c r="P272" i="2"/>
  <c r="N272" i="2"/>
  <c r="L272" i="2"/>
  <c r="J272" i="2"/>
  <c r="H272" i="2"/>
  <c r="F272" i="2"/>
  <c r="D272" i="2"/>
  <c r="B272" i="2"/>
  <c r="A272" i="2"/>
  <c r="R271" i="2"/>
  <c r="P271" i="2"/>
  <c r="N271" i="2"/>
  <c r="L271" i="2"/>
  <c r="J271" i="2"/>
  <c r="H271" i="2"/>
  <c r="F271" i="2"/>
  <c r="D271" i="2"/>
  <c r="B271" i="2"/>
  <c r="A271" i="2"/>
  <c r="P270" i="2"/>
  <c r="N270" i="2"/>
  <c r="L270" i="2"/>
  <c r="J270" i="2"/>
  <c r="H270" i="2"/>
  <c r="F270" i="2"/>
  <c r="B270" i="2"/>
  <c r="A270" i="2"/>
  <c r="R269" i="2"/>
  <c r="P269" i="2"/>
  <c r="N269" i="2"/>
  <c r="L269" i="2"/>
  <c r="J269" i="2"/>
  <c r="H269" i="2"/>
  <c r="F269" i="2"/>
  <c r="D269" i="2"/>
  <c r="B269" i="2"/>
  <c r="A269" i="2"/>
  <c r="R268" i="2"/>
  <c r="P268" i="2"/>
  <c r="N268" i="2"/>
  <c r="L268" i="2"/>
  <c r="J268" i="2"/>
  <c r="H268" i="2"/>
  <c r="F268" i="2"/>
  <c r="D268" i="2"/>
  <c r="B268" i="2"/>
  <c r="A268" i="2"/>
  <c r="R267" i="2"/>
  <c r="P267" i="2"/>
  <c r="N267" i="2"/>
  <c r="L267" i="2"/>
  <c r="J267" i="2"/>
  <c r="H267" i="2"/>
  <c r="F267" i="2"/>
  <c r="D267" i="2"/>
  <c r="B267" i="2"/>
  <c r="A267" i="2"/>
  <c r="R266" i="2"/>
  <c r="Q266" i="2"/>
  <c r="P266" i="2"/>
  <c r="O266" i="2"/>
  <c r="N266" i="2"/>
  <c r="M266" i="2"/>
  <c r="L266" i="2"/>
  <c r="K266" i="2"/>
  <c r="J266" i="2"/>
  <c r="I266" i="2"/>
  <c r="H266" i="2"/>
  <c r="G266" i="2"/>
  <c r="F266" i="2"/>
  <c r="E266" i="2"/>
  <c r="D266" i="2"/>
  <c r="C266" i="2"/>
  <c r="B266" i="2"/>
  <c r="A266" i="2"/>
  <c r="R265" i="2"/>
  <c r="P265" i="2"/>
  <c r="N265" i="2"/>
  <c r="L265" i="2"/>
  <c r="J265" i="2"/>
  <c r="H265" i="2"/>
  <c r="F265" i="2"/>
  <c r="D265" i="2"/>
  <c r="B265" i="2"/>
  <c r="A265" i="2"/>
  <c r="R264" i="2"/>
  <c r="P264" i="2"/>
  <c r="N264" i="2"/>
  <c r="L264" i="2"/>
  <c r="J264" i="2"/>
  <c r="H264" i="2"/>
  <c r="F264" i="2"/>
  <c r="D264" i="2"/>
  <c r="B264" i="2"/>
  <c r="A264" i="2"/>
  <c r="R263" i="2"/>
  <c r="P263" i="2"/>
  <c r="N263" i="2"/>
  <c r="L263" i="2"/>
  <c r="J263" i="2"/>
  <c r="H263" i="2"/>
  <c r="F263" i="2"/>
  <c r="D263" i="2"/>
  <c r="B263" i="2"/>
  <c r="A263" i="2"/>
  <c r="R262" i="2"/>
  <c r="P262" i="2"/>
  <c r="N262" i="2"/>
  <c r="L262" i="2"/>
  <c r="J262" i="2"/>
  <c r="H262" i="2"/>
  <c r="F262" i="2"/>
  <c r="D262" i="2"/>
  <c r="B262" i="2"/>
  <c r="A262" i="2"/>
  <c r="R261" i="2"/>
  <c r="P261" i="2"/>
  <c r="N261" i="2"/>
  <c r="L261" i="2"/>
  <c r="J261" i="2"/>
  <c r="H261" i="2"/>
  <c r="F261" i="2"/>
  <c r="D261" i="2"/>
  <c r="B261" i="2"/>
  <c r="A261" i="2"/>
  <c r="R260" i="2"/>
  <c r="P260" i="2"/>
  <c r="N260" i="2"/>
  <c r="L260" i="2"/>
  <c r="J260" i="2"/>
  <c r="H260" i="2"/>
  <c r="F260" i="2"/>
  <c r="D260" i="2"/>
  <c r="B260" i="2"/>
  <c r="A260" i="2"/>
  <c r="R259" i="2"/>
  <c r="P259" i="2"/>
  <c r="N259" i="2"/>
  <c r="L259" i="2"/>
  <c r="J259" i="2"/>
  <c r="H259" i="2"/>
  <c r="F259" i="2"/>
  <c r="D259" i="2"/>
  <c r="B259" i="2"/>
  <c r="A259" i="2"/>
  <c r="R258" i="2"/>
  <c r="P258" i="2"/>
  <c r="N258" i="2"/>
  <c r="L258" i="2"/>
  <c r="J258" i="2"/>
  <c r="H258" i="2"/>
  <c r="F258" i="2"/>
  <c r="D258" i="2"/>
  <c r="B258" i="2"/>
  <c r="A258" i="2"/>
  <c r="R257" i="2"/>
  <c r="P257" i="2"/>
  <c r="N257" i="2"/>
  <c r="L257" i="2"/>
  <c r="J257" i="2"/>
  <c r="H257" i="2"/>
  <c r="F257" i="2"/>
  <c r="D257" i="2"/>
  <c r="B257" i="2"/>
  <c r="A257" i="2"/>
  <c r="R256" i="2"/>
  <c r="P256" i="2"/>
  <c r="N256" i="2"/>
  <c r="L256" i="2"/>
  <c r="J256" i="2"/>
  <c r="H256" i="2"/>
  <c r="F256" i="2"/>
  <c r="D256" i="2"/>
  <c r="B256" i="2"/>
  <c r="A256" i="2"/>
  <c r="R255" i="2"/>
  <c r="P255" i="2"/>
  <c r="N255" i="2"/>
  <c r="L255" i="2"/>
  <c r="J255" i="2"/>
  <c r="H255" i="2"/>
  <c r="F255" i="2"/>
  <c r="D255" i="2"/>
  <c r="B255" i="2"/>
  <c r="A255" i="2"/>
  <c r="R254" i="2"/>
  <c r="P254" i="2"/>
  <c r="N254" i="2"/>
  <c r="L254" i="2"/>
  <c r="J254" i="2"/>
  <c r="H254" i="2"/>
  <c r="F254" i="2"/>
  <c r="D254" i="2"/>
  <c r="B254" i="2"/>
  <c r="A254" i="2"/>
  <c r="R253" i="2"/>
  <c r="P253" i="2"/>
  <c r="N253" i="2"/>
  <c r="L253" i="2"/>
  <c r="J253" i="2"/>
  <c r="H253" i="2"/>
  <c r="F253" i="2"/>
  <c r="D253" i="2"/>
  <c r="B253" i="2"/>
  <c r="A253" i="2"/>
  <c r="R252" i="2"/>
  <c r="P252" i="2"/>
  <c r="N252" i="2"/>
  <c r="L252" i="2"/>
  <c r="J252" i="2"/>
  <c r="H252" i="2"/>
  <c r="F252" i="2"/>
  <c r="D252" i="2"/>
  <c r="B252" i="2"/>
  <c r="A252" i="2"/>
  <c r="R251" i="2"/>
  <c r="P251" i="2"/>
  <c r="N251" i="2"/>
  <c r="L251" i="2"/>
  <c r="J251" i="2"/>
  <c r="H251" i="2"/>
  <c r="F251" i="2"/>
  <c r="D251" i="2"/>
  <c r="B251" i="2"/>
  <c r="A251" i="2"/>
  <c r="R250" i="2"/>
  <c r="P250" i="2"/>
  <c r="N250" i="2"/>
  <c r="L250" i="2"/>
  <c r="J250" i="2"/>
  <c r="H250" i="2"/>
  <c r="F250" i="2"/>
  <c r="D250" i="2"/>
  <c r="B250" i="2"/>
  <c r="A250" i="2"/>
  <c r="R249" i="2"/>
  <c r="P249" i="2"/>
  <c r="N249" i="2"/>
  <c r="L249" i="2"/>
  <c r="J249" i="2"/>
  <c r="H249" i="2"/>
  <c r="F249" i="2"/>
  <c r="D249" i="2"/>
  <c r="B249" i="2"/>
  <c r="A249" i="2"/>
  <c r="R248" i="2"/>
  <c r="P248" i="2"/>
  <c r="N248" i="2"/>
  <c r="L248" i="2"/>
  <c r="J248" i="2"/>
  <c r="H248" i="2"/>
  <c r="F248" i="2"/>
  <c r="D248" i="2"/>
  <c r="B248" i="2"/>
  <c r="A248" i="2"/>
  <c r="R247" i="2"/>
  <c r="P247" i="2"/>
  <c r="N247" i="2"/>
  <c r="L247" i="2"/>
  <c r="J247" i="2"/>
  <c r="H247" i="2"/>
  <c r="F247" i="2"/>
  <c r="D247" i="2"/>
  <c r="B247" i="2"/>
  <c r="A247" i="2"/>
  <c r="R246" i="2"/>
  <c r="P246" i="2"/>
  <c r="N246" i="2"/>
  <c r="L246" i="2"/>
  <c r="J246" i="2"/>
  <c r="H246" i="2"/>
  <c r="F246" i="2"/>
  <c r="D246" i="2"/>
  <c r="B246" i="2"/>
  <c r="A246" i="2"/>
  <c r="R245" i="2"/>
  <c r="P245" i="2"/>
  <c r="N245" i="2"/>
  <c r="L245" i="2"/>
  <c r="J245" i="2"/>
  <c r="H245" i="2"/>
  <c r="F245" i="2"/>
  <c r="D245" i="2"/>
  <c r="B245" i="2"/>
  <c r="A245" i="2"/>
  <c r="R244" i="2"/>
  <c r="P244" i="2"/>
  <c r="N244" i="2"/>
  <c r="L244" i="2"/>
  <c r="J244" i="2"/>
  <c r="H244" i="2"/>
  <c r="F244" i="2"/>
  <c r="D244" i="2"/>
  <c r="B244" i="2"/>
  <c r="A244" i="2"/>
  <c r="R243" i="2"/>
  <c r="P243" i="2"/>
  <c r="N243" i="2"/>
  <c r="L243" i="2"/>
  <c r="J243" i="2"/>
  <c r="H243" i="2"/>
  <c r="F243" i="2"/>
  <c r="D243" i="2"/>
  <c r="B243" i="2"/>
  <c r="A243" i="2"/>
  <c r="R242" i="2"/>
  <c r="Q242" i="2"/>
  <c r="P242" i="2"/>
  <c r="O242" i="2"/>
  <c r="N242" i="2"/>
  <c r="M242" i="2"/>
  <c r="L242" i="2"/>
  <c r="K242" i="2"/>
  <c r="J242" i="2"/>
  <c r="I242" i="2"/>
  <c r="H242" i="2"/>
  <c r="G242" i="2"/>
  <c r="F242" i="2"/>
  <c r="E242" i="2"/>
  <c r="D242" i="2"/>
  <c r="C242" i="2"/>
  <c r="B242" i="2"/>
  <c r="A242" i="2"/>
  <c r="R241" i="2"/>
  <c r="P241" i="2"/>
  <c r="N241" i="2"/>
  <c r="L241" i="2"/>
  <c r="J241" i="2"/>
  <c r="H241" i="2"/>
  <c r="F241" i="2"/>
  <c r="D241" i="2"/>
  <c r="B241" i="2"/>
  <c r="A241" i="2"/>
  <c r="R240" i="2"/>
  <c r="P240" i="2"/>
  <c r="N240" i="2"/>
  <c r="L240" i="2"/>
  <c r="J240" i="2"/>
  <c r="H240" i="2"/>
  <c r="F240" i="2"/>
  <c r="D240" i="2"/>
  <c r="B240" i="2"/>
  <c r="A240" i="2"/>
  <c r="R239" i="2"/>
  <c r="P239" i="2"/>
  <c r="N239" i="2"/>
  <c r="L239" i="2"/>
  <c r="J239" i="2"/>
  <c r="H239" i="2"/>
  <c r="F239" i="2"/>
  <c r="D239" i="2"/>
  <c r="B239" i="2"/>
  <c r="A239" i="2"/>
  <c r="R238" i="2"/>
  <c r="P238" i="2"/>
  <c r="N238" i="2"/>
  <c r="L238" i="2"/>
  <c r="J238" i="2"/>
  <c r="H238" i="2"/>
  <c r="F238" i="2"/>
  <c r="D238" i="2"/>
  <c r="B238" i="2"/>
  <c r="A238" i="2"/>
  <c r="R237" i="2"/>
  <c r="P237" i="2"/>
  <c r="N237" i="2"/>
  <c r="L237" i="2"/>
  <c r="J237" i="2"/>
  <c r="H237" i="2"/>
  <c r="F237" i="2"/>
  <c r="D237" i="2"/>
  <c r="B237" i="2"/>
  <c r="A237" i="2"/>
  <c r="R236" i="2"/>
  <c r="P236" i="2"/>
  <c r="N236" i="2"/>
  <c r="L236" i="2"/>
  <c r="J236" i="2"/>
  <c r="H236" i="2"/>
  <c r="F236" i="2"/>
  <c r="D236" i="2"/>
  <c r="B236" i="2"/>
  <c r="A236" i="2"/>
  <c r="R235" i="2"/>
  <c r="P235" i="2"/>
  <c r="N235" i="2"/>
  <c r="L235" i="2"/>
  <c r="J235" i="2"/>
  <c r="H235" i="2"/>
  <c r="F235" i="2"/>
  <c r="D235" i="2"/>
  <c r="B235" i="2"/>
  <c r="A235" i="2"/>
  <c r="R234" i="2"/>
  <c r="P234" i="2"/>
  <c r="N234" i="2"/>
  <c r="L234" i="2"/>
  <c r="J234" i="2"/>
  <c r="H234" i="2"/>
  <c r="F234" i="2"/>
  <c r="D234" i="2"/>
  <c r="B234" i="2"/>
  <c r="A234" i="2"/>
  <c r="R233" i="2"/>
  <c r="P233" i="2"/>
  <c r="N233" i="2"/>
  <c r="L233" i="2"/>
  <c r="J233" i="2"/>
  <c r="H233" i="2"/>
  <c r="F233" i="2"/>
  <c r="D233" i="2"/>
  <c r="B233" i="2"/>
  <c r="A233" i="2"/>
  <c r="R232" i="2"/>
  <c r="P232" i="2"/>
  <c r="N232" i="2"/>
  <c r="L232" i="2"/>
  <c r="J232" i="2"/>
  <c r="H232" i="2"/>
  <c r="F232" i="2"/>
  <c r="D232" i="2"/>
  <c r="B232" i="2"/>
  <c r="A232" i="2"/>
  <c r="R231" i="2"/>
  <c r="P231" i="2"/>
  <c r="N231" i="2"/>
  <c r="L231" i="2"/>
  <c r="J231" i="2"/>
  <c r="H231" i="2"/>
  <c r="F231" i="2"/>
  <c r="D231" i="2"/>
  <c r="B231" i="2"/>
  <c r="A231" i="2"/>
  <c r="R230" i="2"/>
  <c r="P230" i="2"/>
  <c r="N230" i="2"/>
  <c r="L230" i="2"/>
  <c r="J230" i="2"/>
  <c r="H230" i="2"/>
  <c r="F230" i="2"/>
  <c r="D230" i="2"/>
  <c r="B230" i="2"/>
  <c r="A230" i="2"/>
  <c r="R229" i="2"/>
  <c r="P229" i="2"/>
  <c r="N229" i="2"/>
  <c r="L229" i="2"/>
  <c r="J229" i="2"/>
  <c r="H229" i="2"/>
  <c r="F229" i="2"/>
  <c r="D229" i="2"/>
  <c r="B229" i="2"/>
  <c r="A229" i="2"/>
  <c r="R228" i="2"/>
  <c r="P228" i="2"/>
  <c r="N228" i="2"/>
  <c r="L228" i="2"/>
  <c r="J228" i="2"/>
  <c r="H228" i="2"/>
  <c r="F228" i="2"/>
  <c r="D228" i="2"/>
  <c r="B228" i="2"/>
  <c r="A228" i="2"/>
  <c r="R227" i="2"/>
  <c r="P227" i="2"/>
  <c r="N227" i="2"/>
  <c r="L227" i="2"/>
  <c r="J227" i="2"/>
  <c r="H227" i="2"/>
  <c r="F227" i="2"/>
  <c r="D227" i="2"/>
  <c r="B227" i="2"/>
  <c r="A227" i="2"/>
  <c r="R226" i="2"/>
  <c r="P226" i="2"/>
  <c r="N226" i="2"/>
  <c r="L226" i="2"/>
  <c r="J226" i="2"/>
  <c r="H226" i="2"/>
  <c r="F226" i="2"/>
  <c r="D226" i="2"/>
  <c r="B226" i="2"/>
  <c r="A226" i="2"/>
  <c r="R225" i="2"/>
  <c r="P225" i="2"/>
  <c r="N225" i="2"/>
  <c r="L225" i="2"/>
  <c r="J225" i="2"/>
  <c r="H225" i="2"/>
  <c r="F225" i="2"/>
  <c r="D225" i="2"/>
  <c r="B225" i="2"/>
  <c r="A225" i="2"/>
  <c r="R224" i="2"/>
  <c r="P224" i="2"/>
  <c r="N224" i="2"/>
  <c r="L224" i="2"/>
  <c r="J224" i="2"/>
  <c r="H224" i="2"/>
  <c r="F224" i="2"/>
  <c r="D224" i="2"/>
  <c r="B224" i="2"/>
  <c r="A224" i="2"/>
  <c r="R223" i="2"/>
  <c r="P223" i="2"/>
  <c r="N223" i="2"/>
  <c r="L223" i="2"/>
  <c r="J223" i="2"/>
  <c r="H223" i="2"/>
  <c r="F223" i="2"/>
  <c r="D223" i="2"/>
  <c r="B223" i="2"/>
  <c r="A223" i="2"/>
  <c r="R222" i="2"/>
  <c r="P222" i="2"/>
  <c r="N222" i="2"/>
  <c r="L222" i="2"/>
  <c r="J222" i="2"/>
  <c r="H222" i="2"/>
  <c r="F222" i="2"/>
  <c r="D222" i="2"/>
  <c r="B222" i="2"/>
  <c r="A222" i="2"/>
  <c r="R221" i="2"/>
  <c r="P221" i="2"/>
  <c r="N221" i="2"/>
  <c r="L221" i="2"/>
  <c r="J221" i="2"/>
  <c r="H221" i="2"/>
  <c r="F221" i="2"/>
  <c r="D221" i="2"/>
  <c r="B221" i="2"/>
  <c r="A221" i="2"/>
  <c r="R220" i="2"/>
  <c r="P220" i="2"/>
  <c r="N220" i="2"/>
  <c r="L220" i="2"/>
  <c r="J220" i="2"/>
  <c r="H220" i="2"/>
  <c r="F220" i="2"/>
  <c r="D220" i="2"/>
  <c r="B220" i="2"/>
  <c r="A220" i="2"/>
  <c r="R219" i="2"/>
  <c r="P219" i="2"/>
  <c r="N219" i="2"/>
  <c r="L219" i="2"/>
  <c r="J219" i="2"/>
  <c r="H219" i="2"/>
  <c r="F219" i="2"/>
  <c r="D219" i="2"/>
  <c r="B219" i="2"/>
  <c r="A219" i="2"/>
  <c r="R218" i="2"/>
  <c r="Q218" i="2"/>
  <c r="P218" i="2"/>
  <c r="O218" i="2"/>
  <c r="N218" i="2"/>
  <c r="M218" i="2"/>
  <c r="L218" i="2"/>
  <c r="K218" i="2"/>
  <c r="J218" i="2"/>
  <c r="I218" i="2"/>
  <c r="H218" i="2"/>
  <c r="G218" i="2"/>
  <c r="F218" i="2"/>
  <c r="E218" i="2"/>
  <c r="D218" i="2"/>
  <c r="C218" i="2"/>
  <c r="B218" i="2"/>
  <c r="A218" i="2"/>
  <c r="R217" i="2"/>
  <c r="P217" i="2"/>
  <c r="N217" i="2"/>
  <c r="L217" i="2"/>
  <c r="J217" i="2"/>
  <c r="H217" i="2"/>
  <c r="F217" i="2"/>
  <c r="D217" i="2"/>
  <c r="B217" i="2"/>
  <c r="A217" i="2"/>
  <c r="R216" i="2"/>
  <c r="P216" i="2"/>
  <c r="N216" i="2"/>
  <c r="L216" i="2"/>
  <c r="J216" i="2"/>
  <c r="H216" i="2"/>
  <c r="F216" i="2"/>
  <c r="D216" i="2"/>
  <c r="B216" i="2"/>
  <c r="A216" i="2"/>
  <c r="R215" i="2"/>
  <c r="P215" i="2"/>
  <c r="N215" i="2"/>
  <c r="L215" i="2"/>
  <c r="J215" i="2"/>
  <c r="H215" i="2"/>
  <c r="F215" i="2"/>
  <c r="D215" i="2"/>
  <c r="B215" i="2"/>
  <c r="A215" i="2"/>
  <c r="R214" i="2"/>
  <c r="P214" i="2"/>
  <c r="N214" i="2"/>
  <c r="L214" i="2"/>
  <c r="J214" i="2"/>
  <c r="H214" i="2"/>
  <c r="F214" i="2"/>
  <c r="D214" i="2"/>
  <c r="B214" i="2"/>
  <c r="A214" i="2"/>
  <c r="R213" i="2"/>
  <c r="P213" i="2"/>
  <c r="N213" i="2"/>
  <c r="L213" i="2"/>
  <c r="J213" i="2"/>
  <c r="H213" i="2"/>
  <c r="F213" i="2"/>
  <c r="D213" i="2"/>
  <c r="B213" i="2"/>
  <c r="A213" i="2"/>
  <c r="R212" i="2"/>
  <c r="P212" i="2"/>
  <c r="N212" i="2"/>
  <c r="L212" i="2"/>
  <c r="J212" i="2"/>
  <c r="H212" i="2"/>
  <c r="F212" i="2"/>
  <c r="D212" i="2"/>
  <c r="B212" i="2"/>
  <c r="A212" i="2"/>
  <c r="R211" i="2"/>
  <c r="P211" i="2"/>
  <c r="N211" i="2"/>
  <c r="L211" i="2"/>
  <c r="J211" i="2"/>
  <c r="H211" i="2"/>
  <c r="F211" i="2"/>
  <c r="D211" i="2"/>
  <c r="B211" i="2"/>
  <c r="A211" i="2"/>
  <c r="R210" i="2"/>
  <c r="P210" i="2"/>
  <c r="N210" i="2"/>
  <c r="L210" i="2"/>
  <c r="J210" i="2"/>
  <c r="H210" i="2"/>
  <c r="F210" i="2"/>
  <c r="D210" i="2"/>
  <c r="B210" i="2"/>
  <c r="A210" i="2"/>
  <c r="R209" i="2"/>
  <c r="P209" i="2"/>
  <c r="N209" i="2"/>
  <c r="L209" i="2"/>
  <c r="J209" i="2"/>
  <c r="H209" i="2"/>
  <c r="F209" i="2"/>
  <c r="D209" i="2"/>
  <c r="B209" i="2"/>
  <c r="A209" i="2"/>
  <c r="R208" i="2"/>
  <c r="P208" i="2"/>
  <c r="N208" i="2"/>
  <c r="L208" i="2"/>
  <c r="J208" i="2"/>
  <c r="H208" i="2"/>
  <c r="F208" i="2"/>
  <c r="D208" i="2"/>
  <c r="B208" i="2"/>
  <c r="A208" i="2"/>
  <c r="R207" i="2"/>
  <c r="P207" i="2"/>
  <c r="N207" i="2"/>
  <c r="L207" i="2"/>
  <c r="J207" i="2"/>
  <c r="H207" i="2"/>
  <c r="F207" i="2"/>
  <c r="D207" i="2"/>
  <c r="B207" i="2"/>
  <c r="A207" i="2"/>
  <c r="R206" i="2"/>
  <c r="P206" i="2"/>
  <c r="N206" i="2"/>
  <c r="L206" i="2"/>
  <c r="J206" i="2"/>
  <c r="H206" i="2"/>
  <c r="F206" i="2"/>
  <c r="D206" i="2"/>
  <c r="B206" i="2"/>
  <c r="A206" i="2"/>
  <c r="R205" i="2"/>
  <c r="P205" i="2"/>
  <c r="N205" i="2"/>
  <c r="L205" i="2"/>
  <c r="J205" i="2"/>
  <c r="H205" i="2"/>
  <c r="F205" i="2"/>
  <c r="D205" i="2"/>
  <c r="B205" i="2"/>
  <c r="A205" i="2"/>
  <c r="R204" i="2"/>
  <c r="P204" i="2"/>
  <c r="N204" i="2"/>
  <c r="L204" i="2"/>
  <c r="J204" i="2"/>
  <c r="H204" i="2"/>
  <c r="F204" i="2"/>
  <c r="D204" i="2"/>
  <c r="B204" i="2"/>
  <c r="A204" i="2"/>
  <c r="R203" i="2"/>
  <c r="P203" i="2"/>
  <c r="N203" i="2"/>
  <c r="L203" i="2"/>
  <c r="J203" i="2"/>
  <c r="H203" i="2"/>
  <c r="F203" i="2"/>
  <c r="D203" i="2"/>
  <c r="B203" i="2"/>
  <c r="A203" i="2"/>
  <c r="R202" i="2"/>
  <c r="P202" i="2"/>
  <c r="N202" i="2"/>
  <c r="L202" i="2"/>
  <c r="J202" i="2"/>
  <c r="H202" i="2"/>
  <c r="F202" i="2"/>
  <c r="D202" i="2"/>
  <c r="B202" i="2"/>
  <c r="A202" i="2"/>
  <c r="R201" i="2"/>
  <c r="P201" i="2"/>
  <c r="N201" i="2"/>
  <c r="L201" i="2"/>
  <c r="J201" i="2"/>
  <c r="H201" i="2"/>
  <c r="F201" i="2"/>
  <c r="D201" i="2"/>
  <c r="B201" i="2"/>
  <c r="A201" i="2"/>
  <c r="R200" i="2"/>
  <c r="P200" i="2"/>
  <c r="N200" i="2"/>
  <c r="L200" i="2"/>
  <c r="J200" i="2"/>
  <c r="H200" i="2"/>
  <c r="F200" i="2"/>
  <c r="D200" i="2"/>
  <c r="B200" i="2"/>
  <c r="A200" i="2"/>
  <c r="R199" i="2"/>
  <c r="P199" i="2"/>
  <c r="N199" i="2"/>
  <c r="L199" i="2"/>
  <c r="J199" i="2"/>
  <c r="H199" i="2"/>
  <c r="F199" i="2"/>
  <c r="D199" i="2"/>
  <c r="B199" i="2"/>
  <c r="A199" i="2"/>
  <c r="P198" i="2"/>
  <c r="N198" i="2"/>
  <c r="L198" i="2"/>
  <c r="J198" i="2"/>
  <c r="H198" i="2"/>
  <c r="F198" i="2"/>
  <c r="B198" i="2"/>
  <c r="A198" i="2"/>
  <c r="R197" i="2"/>
  <c r="P197" i="2"/>
  <c r="N197" i="2"/>
  <c r="L197" i="2"/>
  <c r="J197" i="2"/>
  <c r="H197" i="2"/>
  <c r="F197" i="2"/>
  <c r="D197" i="2"/>
  <c r="B197" i="2"/>
  <c r="A197" i="2"/>
  <c r="P196" i="2"/>
  <c r="N196" i="2"/>
  <c r="L196" i="2"/>
  <c r="J196" i="2"/>
  <c r="H196" i="2"/>
  <c r="F196" i="2"/>
  <c r="B196" i="2"/>
  <c r="A196" i="2"/>
  <c r="R195" i="2"/>
  <c r="P195" i="2"/>
  <c r="N195" i="2"/>
  <c r="L195" i="2"/>
  <c r="J195" i="2"/>
  <c r="H195" i="2"/>
  <c r="F195" i="2"/>
  <c r="D195" i="2"/>
  <c r="B195" i="2"/>
  <c r="A195" i="2"/>
  <c r="R194" i="2"/>
  <c r="Q194" i="2"/>
  <c r="P194" i="2"/>
  <c r="O194" i="2"/>
  <c r="N194" i="2"/>
  <c r="M194" i="2"/>
  <c r="L194" i="2"/>
  <c r="K194" i="2"/>
  <c r="J194" i="2"/>
  <c r="I194" i="2"/>
  <c r="H194" i="2"/>
  <c r="G194" i="2"/>
  <c r="F194" i="2"/>
  <c r="E194" i="2"/>
  <c r="D194" i="2"/>
  <c r="C194" i="2"/>
  <c r="B194" i="2"/>
  <c r="A194" i="2"/>
  <c r="R193" i="2"/>
  <c r="P193" i="2"/>
  <c r="N193" i="2"/>
  <c r="L193" i="2"/>
  <c r="J193" i="2"/>
  <c r="H193" i="2"/>
  <c r="F193" i="2"/>
  <c r="D193" i="2"/>
  <c r="B193" i="2"/>
  <c r="A193" i="2"/>
  <c r="R192" i="2"/>
  <c r="P192" i="2"/>
  <c r="N192" i="2"/>
  <c r="L192" i="2"/>
  <c r="J192" i="2"/>
  <c r="H192" i="2"/>
  <c r="F192" i="2"/>
  <c r="D192" i="2"/>
  <c r="B192" i="2"/>
  <c r="A192" i="2"/>
  <c r="P191" i="2"/>
  <c r="N191" i="2"/>
  <c r="L191" i="2"/>
  <c r="J191" i="2"/>
  <c r="H191" i="2"/>
  <c r="F191" i="2"/>
  <c r="B191" i="2"/>
  <c r="A191" i="2"/>
  <c r="R190" i="2"/>
  <c r="P190" i="2"/>
  <c r="N190" i="2"/>
  <c r="L190" i="2"/>
  <c r="J190" i="2"/>
  <c r="H190" i="2"/>
  <c r="F190" i="2"/>
  <c r="D190" i="2"/>
  <c r="B190" i="2"/>
  <c r="A190" i="2"/>
  <c r="R189" i="2"/>
  <c r="P189" i="2"/>
  <c r="N189" i="2"/>
  <c r="L189" i="2"/>
  <c r="J189" i="2"/>
  <c r="H189" i="2"/>
  <c r="F189" i="2"/>
  <c r="D189" i="2"/>
  <c r="B189" i="2"/>
  <c r="A189" i="2"/>
  <c r="R188" i="2"/>
  <c r="P188" i="2"/>
  <c r="N188" i="2"/>
  <c r="L188" i="2"/>
  <c r="J188" i="2"/>
  <c r="H188" i="2"/>
  <c r="F188" i="2"/>
  <c r="D188" i="2"/>
  <c r="B188" i="2"/>
  <c r="A188" i="2"/>
  <c r="R187" i="2"/>
  <c r="P187" i="2"/>
  <c r="N187" i="2"/>
  <c r="L187" i="2"/>
  <c r="J187" i="2"/>
  <c r="H187" i="2"/>
  <c r="F187" i="2"/>
  <c r="D187" i="2"/>
  <c r="B187" i="2"/>
  <c r="A187" i="2"/>
  <c r="R186" i="2"/>
  <c r="P186" i="2"/>
  <c r="N186" i="2"/>
  <c r="L186" i="2"/>
  <c r="J186" i="2"/>
  <c r="H186" i="2"/>
  <c r="F186" i="2"/>
  <c r="D186" i="2"/>
  <c r="B186" i="2"/>
  <c r="A186" i="2"/>
  <c r="R185" i="2"/>
  <c r="P185" i="2"/>
  <c r="N185" i="2"/>
  <c r="L185" i="2"/>
  <c r="J185" i="2"/>
  <c r="H185" i="2"/>
  <c r="F185" i="2"/>
  <c r="D185" i="2"/>
  <c r="B185" i="2"/>
  <c r="A185" i="2"/>
  <c r="R184" i="2"/>
  <c r="P184" i="2"/>
  <c r="N184" i="2"/>
  <c r="L184" i="2"/>
  <c r="J184" i="2"/>
  <c r="H184" i="2"/>
  <c r="F184" i="2"/>
  <c r="D184" i="2"/>
  <c r="B184" i="2"/>
  <c r="A184" i="2"/>
  <c r="R183" i="2"/>
  <c r="P183" i="2"/>
  <c r="N183" i="2"/>
  <c r="L183" i="2"/>
  <c r="J183" i="2"/>
  <c r="H183" i="2"/>
  <c r="F183" i="2"/>
  <c r="D183" i="2"/>
  <c r="B183" i="2"/>
  <c r="A183" i="2"/>
  <c r="R182" i="2"/>
  <c r="P182" i="2"/>
  <c r="N182" i="2"/>
  <c r="L182" i="2"/>
  <c r="J182" i="2"/>
  <c r="H182" i="2"/>
  <c r="F182" i="2"/>
  <c r="D182" i="2"/>
  <c r="B182" i="2"/>
  <c r="A182" i="2"/>
  <c r="R181" i="2"/>
  <c r="P181" i="2"/>
  <c r="N181" i="2"/>
  <c r="L181" i="2"/>
  <c r="J181" i="2"/>
  <c r="H181" i="2"/>
  <c r="F181" i="2"/>
  <c r="D181" i="2"/>
  <c r="B181" i="2"/>
  <c r="A181" i="2"/>
  <c r="R180" i="2"/>
  <c r="P180" i="2"/>
  <c r="N180" i="2"/>
  <c r="L180" i="2"/>
  <c r="J180" i="2"/>
  <c r="H180" i="2"/>
  <c r="F180" i="2"/>
  <c r="D180" i="2"/>
  <c r="B180" i="2"/>
  <c r="A180" i="2"/>
  <c r="R179" i="2"/>
  <c r="P179" i="2"/>
  <c r="N179" i="2"/>
  <c r="L179" i="2"/>
  <c r="J179" i="2"/>
  <c r="H179" i="2"/>
  <c r="F179" i="2"/>
  <c r="D179" i="2"/>
  <c r="B179" i="2"/>
  <c r="A179" i="2"/>
  <c r="R178" i="2"/>
  <c r="P178" i="2"/>
  <c r="N178" i="2"/>
  <c r="L178" i="2"/>
  <c r="J178" i="2"/>
  <c r="H178" i="2"/>
  <c r="F178" i="2"/>
  <c r="D178" i="2"/>
  <c r="B178" i="2"/>
  <c r="A178" i="2"/>
  <c r="R177" i="2"/>
  <c r="P177" i="2"/>
  <c r="N177" i="2"/>
  <c r="L177" i="2"/>
  <c r="J177" i="2"/>
  <c r="H177" i="2"/>
  <c r="F177" i="2"/>
  <c r="D177" i="2"/>
  <c r="B177" i="2"/>
  <c r="A177" i="2"/>
  <c r="R176" i="2"/>
  <c r="P176" i="2"/>
  <c r="N176" i="2"/>
  <c r="L176" i="2"/>
  <c r="J176" i="2"/>
  <c r="H176" i="2"/>
  <c r="F176" i="2"/>
  <c r="D176" i="2"/>
  <c r="B176" i="2"/>
  <c r="A176" i="2"/>
  <c r="R175" i="2"/>
  <c r="P175" i="2"/>
  <c r="N175" i="2"/>
  <c r="L175" i="2"/>
  <c r="J175" i="2"/>
  <c r="H175" i="2"/>
  <c r="F175" i="2"/>
  <c r="D175" i="2"/>
  <c r="B175" i="2"/>
  <c r="A175" i="2"/>
  <c r="R174" i="2"/>
  <c r="P174" i="2"/>
  <c r="N174" i="2"/>
  <c r="L174" i="2"/>
  <c r="J174" i="2"/>
  <c r="H174" i="2"/>
  <c r="F174" i="2"/>
  <c r="D174" i="2"/>
  <c r="B174" i="2"/>
  <c r="A174" i="2"/>
  <c r="R173" i="2"/>
  <c r="P173" i="2"/>
  <c r="N173" i="2"/>
  <c r="L173" i="2"/>
  <c r="J173" i="2"/>
  <c r="H173" i="2"/>
  <c r="F173" i="2"/>
  <c r="D173" i="2"/>
  <c r="B173" i="2"/>
  <c r="A173" i="2"/>
  <c r="R172" i="2"/>
  <c r="P172" i="2"/>
  <c r="N172" i="2"/>
  <c r="L172" i="2"/>
  <c r="J172" i="2"/>
  <c r="H172" i="2"/>
  <c r="F172" i="2"/>
  <c r="D172" i="2"/>
  <c r="B172" i="2"/>
  <c r="A172" i="2"/>
  <c r="R171" i="2"/>
  <c r="P171" i="2"/>
  <c r="N171" i="2"/>
  <c r="L171" i="2"/>
  <c r="J171" i="2"/>
  <c r="H171" i="2"/>
  <c r="F171" i="2"/>
  <c r="D171" i="2"/>
  <c r="B171" i="2"/>
  <c r="A171" i="2"/>
  <c r="R170" i="2"/>
  <c r="Q170" i="2"/>
  <c r="P170" i="2"/>
  <c r="O170" i="2"/>
  <c r="N170" i="2"/>
  <c r="M170" i="2"/>
  <c r="L170" i="2"/>
  <c r="K170" i="2"/>
  <c r="J170" i="2"/>
  <c r="I170" i="2"/>
  <c r="H170" i="2"/>
  <c r="G170" i="2"/>
  <c r="F170" i="2"/>
  <c r="E170" i="2"/>
  <c r="D170" i="2"/>
  <c r="C170" i="2"/>
  <c r="B170" i="2"/>
  <c r="A170" i="2"/>
  <c r="R169" i="2"/>
  <c r="P169" i="2"/>
  <c r="N169" i="2"/>
  <c r="L169" i="2"/>
  <c r="J169" i="2"/>
  <c r="H169" i="2"/>
  <c r="F169" i="2"/>
  <c r="D169" i="2"/>
  <c r="B169" i="2"/>
  <c r="A169" i="2"/>
  <c r="R168" i="2"/>
  <c r="P168" i="2"/>
  <c r="N168" i="2"/>
  <c r="L168" i="2"/>
  <c r="J168" i="2"/>
  <c r="H168" i="2"/>
  <c r="F168" i="2"/>
  <c r="D168" i="2"/>
  <c r="B168" i="2"/>
  <c r="A168" i="2"/>
  <c r="R167" i="2"/>
  <c r="P167" i="2"/>
  <c r="N167" i="2"/>
  <c r="L167" i="2"/>
  <c r="J167" i="2"/>
  <c r="H167" i="2"/>
  <c r="F167" i="2"/>
  <c r="D167" i="2"/>
  <c r="B167" i="2"/>
  <c r="A167" i="2"/>
  <c r="R166" i="2"/>
  <c r="P166" i="2"/>
  <c r="N166" i="2"/>
  <c r="L166" i="2"/>
  <c r="J166" i="2"/>
  <c r="H166" i="2"/>
  <c r="F166" i="2"/>
  <c r="D166" i="2"/>
  <c r="B166" i="2"/>
  <c r="A166" i="2"/>
  <c r="R165" i="2"/>
  <c r="P165" i="2"/>
  <c r="N165" i="2"/>
  <c r="L165" i="2"/>
  <c r="J165" i="2"/>
  <c r="H165" i="2"/>
  <c r="F165" i="2"/>
  <c r="D165" i="2"/>
  <c r="B165" i="2"/>
  <c r="A165" i="2"/>
  <c r="R164" i="2"/>
  <c r="P164" i="2"/>
  <c r="N164" i="2"/>
  <c r="L164" i="2"/>
  <c r="J164" i="2"/>
  <c r="H164" i="2"/>
  <c r="F164" i="2"/>
  <c r="D164" i="2"/>
  <c r="B164" i="2"/>
  <c r="A164" i="2"/>
  <c r="R163" i="2"/>
  <c r="P163" i="2"/>
  <c r="N163" i="2"/>
  <c r="L163" i="2"/>
  <c r="J163" i="2"/>
  <c r="H163" i="2"/>
  <c r="F163" i="2"/>
  <c r="D163" i="2"/>
  <c r="B163" i="2"/>
  <c r="A163" i="2"/>
  <c r="R162" i="2"/>
  <c r="P162" i="2"/>
  <c r="N162" i="2"/>
  <c r="L162" i="2"/>
  <c r="J162" i="2"/>
  <c r="H162" i="2"/>
  <c r="F162" i="2"/>
  <c r="D162" i="2"/>
  <c r="B162" i="2"/>
  <c r="A162" i="2"/>
  <c r="R161" i="2"/>
  <c r="P161" i="2"/>
  <c r="N161" i="2"/>
  <c r="L161" i="2"/>
  <c r="J161" i="2"/>
  <c r="H161" i="2"/>
  <c r="F161" i="2"/>
  <c r="D161" i="2"/>
  <c r="B161" i="2"/>
  <c r="A161" i="2"/>
  <c r="R160" i="2"/>
  <c r="P160" i="2"/>
  <c r="N160" i="2"/>
  <c r="L160" i="2"/>
  <c r="J160" i="2"/>
  <c r="H160" i="2"/>
  <c r="F160" i="2"/>
  <c r="D160" i="2"/>
  <c r="B160" i="2"/>
  <c r="A160" i="2"/>
  <c r="R159" i="2"/>
  <c r="P159" i="2"/>
  <c r="N159" i="2"/>
  <c r="L159" i="2"/>
  <c r="J159" i="2"/>
  <c r="H159" i="2"/>
  <c r="F159" i="2"/>
  <c r="D159" i="2"/>
  <c r="B159" i="2"/>
  <c r="A159" i="2"/>
  <c r="R158" i="2"/>
  <c r="P158" i="2"/>
  <c r="N158" i="2"/>
  <c r="L158" i="2"/>
  <c r="J158" i="2"/>
  <c r="H158" i="2"/>
  <c r="F158" i="2"/>
  <c r="D158" i="2"/>
  <c r="B158" i="2"/>
  <c r="A158" i="2"/>
  <c r="R157" i="2"/>
  <c r="P157" i="2"/>
  <c r="N157" i="2"/>
  <c r="L157" i="2"/>
  <c r="J157" i="2"/>
  <c r="H157" i="2"/>
  <c r="F157" i="2"/>
  <c r="D157" i="2"/>
  <c r="B157" i="2"/>
  <c r="A157" i="2"/>
  <c r="R156" i="2"/>
  <c r="P156" i="2"/>
  <c r="N156" i="2"/>
  <c r="L156" i="2"/>
  <c r="J156" i="2"/>
  <c r="H156" i="2"/>
  <c r="F156" i="2"/>
  <c r="D156" i="2"/>
  <c r="B156" i="2"/>
  <c r="A156" i="2"/>
  <c r="R155" i="2"/>
  <c r="P155" i="2"/>
  <c r="N155" i="2"/>
  <c r="L155" i="2"/>
  <c r="J155" i="2"/>
  <c r="H155" i="2"/>
  <c r="F155" i="2"/>
  <c r="D155" i="2"/>
  <c r="B155" i="2"/>
  <c r="A155" i="2"/>
  <c r="R154" i="2"/>
  <c r="P154" i="2"/>
  <c r="N154" i="2"/>
  <c r="L154" i="2"/>
  <c r="J154" i="2"/>
  <c r="H154" i="2"/>
  <c r="F154" i="2"/>
  <c r="D154" i="2"/>
  <c r="B154" i="2"/>
  <c r="A154" i="2"/>
  <c r="R153" i="2"/>
  <c r="P153" i="2"/>
  <c r="N153" i="2"/>
  <c r="L153" i="2"/>
  <c r="J153" i="2"/>
  <c r="H153" i="2"/>
  <c r="F153" i="2"/>
  <c r="D153" i="2"/>
  <c r="B153" i="2"/>
  <c r="A153" i="2"/>
  <c r="R152" i="2"/>
  <c r="P152" i="2"/>
  <c r="N152" i="2"/>
  <c r="L152" i="2"/>
  <c r="J152" i="2"/>
  <c r="H152" i="2"/>
  <c r="F152" i="2"/>
  <c r="D152" i="2"/>
  <c r="B152" i="2"/>
  <c r="A152" i="2"/>
  <c r="R151" i="2"/>
  <c r="P151" i="2"/>
  <c r="N151" i="2"/>
  <c r="L151" i="2"/>
  <c r="J151" i="2"/>
  <c r="H151" i="2"/>
  <c r="F151" i="2"/>
  <c r="D151" i="2"/>
  <c r="B151" i="2"/>
  <c r="A151" i="2"/>
  <c r="R150" i="2"/>
  <c r="P150" i="2"/>
  <c r="N150" i="2"/>
  <c r="L150" i="2"/>
  <c r="J150" i="2"/>
  <c r="H150" i="2"/>
  <c r="F150" i="2"/>
  <c r="D150" i="2"/>
  <c r="B150" i="2"/>
  <c r="A150" i="2"/>
  <c r="R149" i="2"/>
  <c r="P149" i="2"/>
  <c r="N149" i="2"/>
  <c r="L149" i="2"/>
  <c r="J149" i="2"/>
  <c r="H149" i="2"/>
  <c r="F149" i="2"/>
  <c r="D149" i="2"/>
  <c r="B149" i="2"/>
  <c r="A149" i="2"/>
  <c r="R148" i="2"/>
  <c r="P148" i="2"/>
  <c r="N148" i="2"/>
  <c r="L148" i="2"/>
  <c r="J148" i="2"/>
  <c r="H148" i="2"/>
  <c r="F148" i="2"/>
  <c r="D148" i="2"/>
  <c r="B148" i="2"/>
  <c r="A148" i="2"/>
  <c r="R147" i="2"/>
  <c r="P147" i="2"/>
  <c r="N147" i="2"/>
  <c r="L147" i="2"/>
  <c r="J147" i="2"/>
  <c r="H147" i="2"/>
  <c r="F147" i="2"/>
  <c r="D147" i="2"/>
  <c r="B147" i="2"/>
  <c r="A147" i="2"/>
  <c r="R146" i="2"/>
  <c r="Q146" i="2"/>
  <c r="P146" i="2"/>
  <c r="O146" i="2"/>
  <c r="N146" i="2"/>
  <c r="M146" i="2"/>
  <c r="L146" i="2"/>
  <c r="K146" i="2"/>
  <c r="J146" i="2"/>
  <c r="I146" i="2"/>
  <c r="H146" i="2"/>
  <c r="G146" i="2"/>
  <c r="F146" i="2"/>
  <c r="E146" i="2"/>
  <c r="D146" i="2"/>
  <c r="C146" i="2"/>
  <c r="B146" i="2"/>
  <c r="A146" i="2"/>
  <c r="R145" i="2"/>
  <c r="P145" i="2"/>
  <c r="N145" i="2"/>
  <c r="L145" i="2"/>
  <c r="J145" i="2"/>
  <c r="H145" i="2"/>
  <c r="F145" i="2"/>
  <c r="D145" i="2"/>
  <c r="B145" i="2"/>
  <c r="A145" i="2"/>
  <c r="R144" i="2"/>
  <c r="P144" i="2"/>
  <c r="N144" i="2"/>
  <c r="L144" i="2"/>
  <c r="J144" i="2"/>
  <c r="H144" i="2"/>
  <c r="F144" i="2"/>
  <c r="D144" i="2"/>
  <c r="B144" i="2"/>
  <c r="A144" i="2"/>
  <c r="R143" i="2"/>
  <c r="P143" i="2"/>
  <c r="N143" i="2"/>
  <c r="L143" i="2"/>
  <c r="J143" i="2"/>
  <c r="H143" i="2"/>
  <c r="F143" i="2"/>
  <c r="D143" i="2"/>
  <c r="B143" i="2"/>
  <c r="A143" i="2"/>
  <c r="R142" i="2"/>
  <c r="P142" i="2"/>
  <c r="N142" i="2"/>
  <c r="L142" i="2"/>
  <c r="J142" i="2"/>
  <c r="H142" i="2"/>
  <c r="F142" i="2"/>
  <c r="D142" i="2"/>
  <c r="B142" i="2"/>
  <c r="A142" i="2"/>
  <c r="R141" i="2"/>
  <c r="P141" i="2"/>
  <c r="N141" i="2"/>
  <c r="L141" i="2"/>
  <c r="J141" i="2"/>
  <c r="H141" i="2"/>
  <c r="F141" i="2"/>
  <c r="D141" i="2"/>
  <c r="B141" i="2"/>
  <c r="A141" i="2"/>
  <c r="R140" i="2"/>
  <c r="P140" i="2"/>
  <c r="N140" i="2"/>
  <c r="L140" i="2"/>
  <c r="J140" i="2"/>
  <c r="H140" i="2"/>
  <c r="F140" i="2"/>
  <c r="D140" i="2"/>
  <c r="B140" i="2"/>
  <c r="A140" i="2"/>
  <c r="R139" i="2"/>
  <c r="P139" i="2"/>
  <c r="N139" i="2"/>
  <c r="L139" i="2"/>
  <c r="J139" i="2"/>
  <c r="H139" i="2"/>
  <c r="F139" i="2"/>
  <c r="D139" i="2"/>
  <c r="B139" i="2"/>
  <c r="A139" i="2"/>
  <c r="R138" i="2"/>
  <c r="P138" i="2"/>
  <c r="N138" i="2"/>
  <c r="L138" i="2"/>
  <c r="J138" i="2"/>
  <c r="H138" i="2"/>
  <c r="F138" i="2"/>
  <c r="D138" i="2"/>
  <c r="B138" i="2"/>
  <c r="A138" i="2"/>
  <c r="R137" i="2"/>
  <c r="P137" i="2"/>
  <c r="N137" i="2"/>
  <c r="L137" i="2"/>
  <c r="J137" i="2"/>
  <c r="H137" i="2"/>
  <c r="F137" i="2"/>
  <c r="D137" i="2"/>
  <c r="B137" i="2"/>
  <c r="A137" i="2"/>
  <c r="R136" i="2"/>
  <c r="P136" i="2"/>
  <c r="N136" i="2"/>
  <c r="L136" i="2"/>
  <c r="J136" i="2"/>
  <c r="H136" i="2"/>
  <c r="F136" i="2"/>
  <c r="D136" i="2"/>
  <c r="B136" i="2"/>
  <c r="A136" i="2"/>
  <c r="R135" i="2"/>
  <c r="P135" i="2"/>
  <c r="N135" i="2"/>
  <c r="L135" i="2"/>
  <c r="J135" i="2"/>
  <c r="H135" i="2"/>
  <c r="F135" i="2"/>
  <c r="D135" i="2"/>
  <c r="B135" i="2"/>
  <c r="A135" i="2"/>
  <c r="R134" i="2"/>
  <c r="P134" i="2"/>
  <c r="N134" i="2"/>
  <c r="L134" i="2"/>
  <c r="J134" i="2"/>
  <c r="H134" i="2"/>
  <c r="F134" i="2"/>
  <c r="D134" i="2"/>
  <c r="B134" i="2"/>
  <c r="A134" i="2"/>
  <c r="R133" i="2"/>
  <c r="P133" i="2"/>
  <c r="N133" i="2"/>
  <c r="L133" i="2"/>
  <c r="J133" i="2"/>
  <c r="H133" i="2"/>
  <c r="F133" i="2"/>
  <c r="D133" i="2"/>
  <c r="B133" i="2"/>
  <c r="A133" i="2"/>
  <c r="R132" i="2"/>
  <c r="P132" i="2"/>
  <c r="N132" i="2"/>
  <c r="L132" i="2"/>
  <c r="J132" i="2"/>
  <c r="H132" i="2"/>
  <c r="F132" i="2"/>
  <c r="D132" i="2"/>
  <c r="B132" i="2"/>
  <c r="A132" i="2"/>
  <c r="R131" i="2"/>
  <c r="P131" i="2"/>
  <c r="N131" i="2"/>
  <c r="L131" i="2"/>
  <c r="J131" i="2"/>
  <c r="H131" i="2"/>
  <c r="F131" i="2"/>
  <c r="D131" i="2"/>
  <c r="B131" i="2"/>
  <c r="A131" i="2"/>
  <c r="R130" i="2"/>
  <c r="P130" i="2"/>
  <c r="N130" i="2"/>
  <c r="L130" i="2"/>
  <c r="J130" i="2"/>
  <c r="H130" i="2"/>
  <c r="F130" i="2"/>
  <c r="D130" i="2"/>
  <c r="B130" i="2"/>
  <c r="A130" i="2"/>
  <c r="R129" i="2"/>
  <c r="P129" i="2"/>
  <c r="N129" i="2"/>
  <c r="L129" i="2"/>
  <c r="J129" i="2"/>
  <c r="H129" i="2"/>
  <c r="F129" i="2"/>
  <c r="D129" i="2"/>
  <c r="B129" i="2"/>
  <c r="A129" i="2"/>
  <c r="P128" i="2"/>
  <c r="N128" i="2"/>
  <c r="L128" i="2"/>
  <c r="J128" i="2"/>
  <c r="H128" i="2"/>
  <c r="F128" i="2"/>
  <c r="B128" i="2"/>
  <c r="A128" i="2"/>
  <c r="R127" i="2"/>
  <c r="P127" i="2"/>
  <c r="N127" i="2"/>
  <c r="L127" i="2"/>
  <c r="J127" i="2"/>
  <c r="H127" i="2"/>
  <c r="F127" i="2"/>
  <c r="D127" i="2"/>
  <c r="B127" i="2"/>
  <c r="A127" i="2"/>
  <c r="P126" i="2"/>
  <c r="N126" i="2"/>
  <c r="L126" i="2"/>
  <c r="J126" i="2"/>
  <c r="H126" i="2"/>
  <c r="F126" i="2"/>
  <c r="B126" i="2"/>
  <c r="A126" i="2"/>
  <c r="P125" i="2"/>
  <c r="N125" i="2"/>
  <c r="L125" i="2"/>
  <c r="J125" i="2"/>
  <c r="H125" i="2"/>
  <c r="F125" i="2"/>
  <c r="B125" i="2"/>
  <c r="A125" i="2"/>
  <c r="R124" i="2"/>
  <c r="P124" i="2"/>
  <c r="N124" i="2"/>
  <c r="L124" i="2"/>
  <c r="J124" i="2"/>
  <c r="H124" i="2"/>
  <c r="F124" i="2"/>
  <c r="D124" i="2"/>
  <c r="B124" i="2"/>
  <c r="A124" i="2"/>
  <c r="R123" i="2"/>
  <c r="P123" i="2"/>
  <c r="N123" i="2"/>
  <c r="L123" i="2"/>
  <c r="J123" i="2"/>
  <c r="H123" i="2"/>
  <c r="F123" i="2"/>
  <c r="D123" i="2"/>
  <c r="B123" i="2"/>
  <c r="A123" i="2"/>
  <c r="R122" i="2"/>
  <c r="Q122" i="2"/>
  <c r="P122" i="2"/>
  <c r="O122" i="2"/>
  <c r="N122" i="2"/>
  <c r="M122" i="2"/>
  <c r="L122" i="2"/>
  <c r="K122" i="2"/>
  <c r="J122" i="2"/>
  <c r="I122" i="2"/>
  <c r="H122" i="2"/>
  <c r="G122" i="2"/>
  <c r="F122" i="2"/>
  <c r="E122" i="2"/>
  <c r="D122" i="2"/>
  <c r="C122" i="2"/>
  <c r="B122" i="2"/>
  <c r="A122" i="2"/>
  <c r="R121" i="2"/>
  <c r="P121" i="2"/>
  <c r="N121" i="2"/>
  <c r="L121" i="2"/>
  <c r="J121" i="2"/>
  <c r="H121" i="2"/>
  <c r="F121" i="2"/>
  <c r="D121" i="2"/>
  <c r="B121" i="2"/>
  <c r="A121" i="2"/>
  <c r="R120" i="2"/>
  <c r="P120" i="2"/>
  <c r="N120" i="2"/>
  <c r="L120" i="2"/>
  <c r="J120" i="2"/>
  <c r="H120" i="2"/>
  <c r="F120" i="2"/>
  <c r="D120" i="2"/>
  <c r="B120" i="2"/>
  <c r="A120" i="2"/>
  <c r="R119" i="2"/>
  <c r="P119" i="2"/>
  <c r="N119" i="2"/>
  <c r="L119" i="2"/>
  <c r="J119" i="2"/>
  <c r="H119" i="2"/>
  <c r="F119" i="2"/>
  <c r="D119" i="2"/>
  <c r="B119" i="2"/>
  <c r="A119" i="2"/>
  <c r="R118" i="2"/>
  <c r="P118" i="2"/>
  <c r="N118" i="2"/>
  <c r="L118" i="2"/>
  <c r="J118" i="2"/>
  <c r="H118" i="2"/>
  <c r="F118" i="2"/>
  <c r="D118" i="2"/>
  <c r="B118" i="2"/>
  <c r="A118" i="2"/>
  <c r="R117" i="2"/>
  <c r="P117" i="2"/>
  <c r="N117" i="2"/>
  <c r="L117" i="2"/>
  <c r="J117" i="2"/>
  <c r="H117" i="2"/>
  <c r="F117" i="2"/>
  <c r="D117" i="2"/>
  <c r="B117" i="2"/>
  <c r="A117" i="2"/>
  <c r="R116" i="2"/>
  <c r="P116" i="2"/>
  <c r="N116" i="2"/>
  <c r="L116" i="2"/>
  <c r="J116" i="2"/>
  <c r="H116" i="2"/>
  <c r="F116" i="2"/>
  <c r="D116" i="2"/>
  <c r="B116" i="2"/>
  <c r="A116" i="2"/>
  <c r="R115" i="2"/>
  <c r="P115" i="2"/>
  <c r="N115" i="2"/>
  <c r="L115" i="2"/>
  <c r="J115" i="2"/>
  <c r="H115" i="2"/>
  <c r="F115" i="2"/>
  <c r="D115" i="2"/>
  <c r="B115" i="2"/>
  <c r="A115" i="2"/>
  <c r="R114" i="2"/>
  <c r="P114" i="2"/>
  <c r="N114" i="2"/>
  <c r="L114" i="2"/>
  <c r="J114" i="2"/>
  <c r="H114" i="2"/>
  <c r="F114" i="2"/>
  <c r="D114" i="2"/>
  <c r="B114" i="2"/>
  <c r="A114" i="2"/>
  <c r="R113" i="2"/>
  <c r="P113" i="2"/>
  <c r="N113" i="2"/>
  <c r="L113" i="2"/>
  <c r="J113" i="2"/>
  <c r="H113" i="2"/>
  <c r="F113" i="2"/>
  <c r="D113" i="2"/>
  <c r="B113" i="2"/>
  <c r="A113" i="2"/>
  <c r="R112" i="2"/>
  <c r="P112" i="2"/>
  <c r="N112" i="2"/>
  <c r="L112" i="2"/>
  <c r="J112" i="2"/>
  <c r="H112" i="2"/>
  <c r="F112" i="2"/>
  <c r="D112" i="2"/>
  <c r="B112" i="2"/>
  <c r="A112" i="2"/>
  <c r="R111" i="2"/>
  <c r="P111" i="2"/>
  <c r="N111" i="2"/>
  <c r="L111" i="2"/>
  <c r="J111" i="2"/>
  <c r="H111" i="2"/>
  <c r="F111" i="2"/>
  <c r="D111" i="2"/>
  <c r="B111" i="2"/>
  <c r="A111" i="2"/>
  <c r="R110" i="2"/>
  <c r="P110" i="2"/>
  <c r="N110" i="2"/>
  <c r="L110" i="2"/>
  <c r="J110" i="2"/>
  <c r="H110" i="2"/>
  <c r="F110" i="2"/>
  <c r="D110" i="2"/>
  <c r="B110" i="2"/>
  <c r="A110" i="2"/>
  <c r="R109" i="2"/>
  <c r="P109" i="2"/>
  <c r="N109" i="2"/>
  <c r="L109" i="2"/>
  <c r="J109" i="2"/>
  <c r="H109" i="2"/>
  <c r="F109" i="2"/>
  <c r="D109" i="2"/>
  <c r="B109" i="2"/>
  <c r="A109" i="2"/>
  <c r="R108" i="2"/>
  <c r="P108" i="2"/>
  <c r="N108" i="2"/>
  <c r="L108" i="2"/>
  <c r="J108" i="2"/>
  <c r="H108" i="2"/>
  <c r="F108" i="2"/>
  <c r="D108" i="2"/>
  <c r="B108" i="2"/>
  <c r="A108" i="2"/>
  <c r="R107" i="2"/>
  <c r="P107" i="2"/>
  <c r="N107" i="2"/>
  <c r="L107" i="2"/>
  <c r="J107" i="2"/>
  <c r="H107" i="2"/>
  <c r="F107" i="2"/>
  <c r="D107" i="2"/>
  <c r="B107" i="2"/>
  <c r="A107" i="2"/>
  <c r="R106" i="2"/>
  <c r="P106" i="2"/>
  <c r="N106" i="2"/>
  <c r="L106" i="2"/>
  <c r="J106" i="2"/>
  <c r="H106" i="2"/>
  <c r="F106" i="2"/>
  <c r="D106" i="2"/>
  <c r="B106" i="2"/>
  <c r="A106" i="2"/>
  <c r="R105" i="2"/>
  <c r="P105" i="2"/>
  <c r="N105" i="2"/>
  <c r="L105" i="2"/>
  <c r="J105" i="2"/>
  <c r="H105" i="2"/>
  <c r="F105" i="2"/>
  <c r="D105" i="2"/>
  <c r="B105" i="2"/>
  <c r="A105" i="2"/>
  <c r="R104" i="2"/>
  <c r="P104" i="2"/>
  <c r="N104" i="2"/>
  <c r="L104" i="2"/>
  <c r="J104" i="2"/>
  <c r="H104" i="2"/>
  <c r="F104" i="2"/>
  <c r="D104" i="2"/>
  <c r="B104" i="2"/>
  <c r="A104" i="2"/>
  <c r="P103" i="2"/>
  <c r="N103" i="2"/>
  <c r="L103" i="2"/>
  <c r="J103" i="2"/>
  <c r="H103" i="2"/>
  <c r="F103" i="2"/>
  <c r="B103" i="2"/>
  <c r="A103" i="2"/>
  <c r="P102" i="2"/>
  <c r="N102" i="2"/>
  <c r="L102" i="2"/>
  <c r="J102" i="2"/>
  <c r="H102" i="2"/>
  <c r="F102" i="2"/>
  <c r="B102" i="2"/>
  <c r="A102" i="2"/>
  <c r="R101" i="2"/>
  <c r="P101" i="2"/>
  <c r="N101" i="2"/>
  <c r="L101" i="2"/>
  <c r="J101" i="2"/>
  <c r="H101" i="2"/>
  <c r="F101" i="2"/>
  <c r="D101" i="2"/>
  <c r="B101" i="2"/>
  <c r="A101" i="2"/>
  <c r="R100" i="2"/>
  <c r="P100" i="2"/>
  <c r="N100" i="2"/>
  <c r="L100" i="2"/>
  <c r="J100" i="2"/>
  <c r="H100" i="2"/>
  <c r="F100" i="2"/>
  <c r="D100" i="2"/>
  <c r="B100" i="2"/>
  <c r="A100" i="2"/>
  <c r="R99" i="2"/>
  <c r="P99" i="2"/>
  <c r="N99" i="2"/>
  <c r="L99" i="2"/>
  <c r="J99" i="2"/>
  <c r="H99" i="2"/>
  <c r="F99" i="2"/>
  <c r="D99" i="2"/>
  <c r="B99" i="2"/>
  <c r="A99" i="2"/>
  <c r="R98" i="2"/>
  <c r="Q98" i="2"/>
  <c r="P98" i="2"/>
  <c r="O98" i="2"/>
  <c r="N98" i="2"/>
  <c r="M98" i="2"/>
  <c r="L98" i="2"/>
  <c r="K98" i="2"/>
  <c r="J98" i="2"/>
  <c r="I98" i="2"/>
  <c r="H98" i="2"/>
  <c r="G98" i="2"/>
  <c r="F98" i="2"/>
  <c r="E98" i="2"/>
  <c r="D98" i="2"/>
  <c r="C98" i="2"/>
  <c r="B98" i="2"/>
  <c r="A98" i="2"/>
  <c r="R97" i="2"/>
  <c r="P97" i="2"/>
  <c r="N97" i="2"/>
  <c r="L97" i="2"/>
  <c r="J97" i="2"/>
  <c r="H97" i="2"/>
  <c r="F97" i="2"/>
  <c r="D97" i="2"/>
  <c r="B97" i="2"/>
  <c r="A97" i="2"/>
  <c r="R96" i="2"/>
  <c r="P96" i="2"/>
  <c r="N96" i="2"/>
  <c r="L96" i="2"/>
  <c r="J96" i="2"/>
  <c r="H96" i="2"/>
  <c r="F96" i="2"/>
  <c r="D96" i="2"/>
  <c r="B96" i="2"/>
  <c r="A96" i="2"/>
  <c r="R95" i="2"/>
  <c r="P95" i="2"/>
  <c r="N95" i="2"/>
  <c r="L95" i="2"/>
  <c r="J95" i="2"/>
  <c r="H95" i="2"/>
  <c r="F95" i="2"/>
  <c r="D95" i="2"/>
  <c r="B95" i="2"/>
  <c r="A95" i="2"/>
  <c r="R94" i="2"/>
  <c r="P94" i="2"/>
  <c r="N94" i="2"/>
  <c r="L94" i="2"/>
  <c r="J94" i="2"/>
  <c r="H94" i="2"/>
  <c r="F94" i="2"/>
  <c r="D94" i="2"/>
  <c r="B94" i="2"/>
  <c r="A94" i="2"/>
  <c r="R93" i="2"/>
  <c r="P93" i="2"/>
  <c r="N93" i="2"/>
  <c r="L93" i="2"/>
  <c r="J93" i="2"/>
  <c r="H93" i="2"/>
  <c r="F93" i="2"/>
  <c r="D93" i="2"/>
  <c r="B93" i="2"/>
  <c r="A93" i="2"/>
  <c r="R92" i="2"/>
  <c r="P92" i="2"/>
  <c r="N92" i="2"/>
  <c r="L92" i="2"/>
  <c r="J92" i="2"/>
  <c r="H92" i="2"/>
  <c r="F92" i="2"/>
  <c r="D92" i="2"/>
  <c r="B92" i="2"/>
  <c r="A92" i="2"/>
  <c r="R91" i="2"/>
  <c r="P91" i="2"/>
  <c r="N91" i="2"/>
  <c r="L91" i="2"/>
  <c r="J91" i="2"/>
  <c r="H91" i="2"/>
  <c r="F91" i="2"/>
  <c r="D91" i="2"/>
  <c r="B91" i="2"/>
  <c r="A91" i="2"/>
  <c r="R90" i="2"/>
  <c r="P90" i="2"/>
  <c r="N90" i="2"/>
  <c r="L90" i="2"/>
  <c r="J90" i="2"/>
  <c r="H90" i="2"/>
  <c r="F90" i="2"/>
  <c r="D90" i="2"/>
  <c r="B90" i="2"/>
  <c r="A90" i="2"/>
  <c r="R89" i="2"/>
  <c r="P89" i="2"/>
  <c r="N89" i="2"/>
  <c r="L89" i="2"/>
  <c r="J89" i="2"/>
  <c r="H89" i="2"/>
  <c r="F89" i="2"/>
  <c r="D89" i="2"/>
  <c r="B89" i="2"/>
  <c r="A89" i="2"/>
  <c r="R88" i="2"/>
  <c r="P88" i="2"/>
  <c r="N88" i="2"/>
  <c r="L88" i="2"/>
  <c r="J88" i="2"/>
  <c r="H88" i="2"/>
  <c r="F88" i="2"/>
  <c r="D88" i="2"/>
  <c r="B88" i="2"/>
  <c r="A88" i="2"/>
  <c r="R87" i="2"/>
  <c r="P87" i="2"/>
  <c r="N87" i="2"/>
  <c r="L87" i="2"/>
  <c r="J87" i="2"/>
  <c r="H87" i="2"/>
  <c r="F87" i="2"/>
  <c r="D87" i="2"/>
  <c r="B87" i="2"/>
  <c r="A87" i="2"/>
  <c r="R86" i="2"/>
  <c r="P86" i="2"/>
  <c r="N86" i="2"/>
  <c r="L86" i="2"/>
  <c r="J86" i="2"/>
  <c r="H86" i="2"/>
  <c r="F86" i="2"/>
  <c r="D86" i="2"/>
  <c r="B86" i="2"/>
  <c r="A86" i="2"/>
  <c r="R85" i="2"/>
  <c r="P85" i="2"/>
  <c r="N85" i="2"/>
  <c r="L85" i="2"/>
  <c r="J85" i="2"/>
  <c r="H85" i="2"/>
  <c r="F85" i="2"/>
  <c r="D85" i="2"/>
  <c r="B85" i="2"/>
  <c r="A85" i="2"/>
  <c r="R84" i="2"/>
  <c r="P84" i="2"/>
  <c r="N84" i="2"/>
  <c r="L84" i="2"/>
  <c r="J84" i="2"/>
  <c r="H84" i="2"/>
  <c r="F84" i="2"/>
  <c r="D84" i="2"/>
  <c r="B84" i="2"/>
  <c r="A84" i="2"/>
  <c r="R83" i="2"/>
  <c r="P83" i="2"/>
  <c r="N83" i="2"/>
  <c r="L83" i="2"/>
  <c r="J83" i="2"/>
  <c r="H83" i="2"/>
  <c r="F83" i="2"/>
  <c r="D83" i="2"/>
  <c r="B83" i="2"/>
  <c r="A83" i="2"/>
  <c r="R82" i="2"/>
  <c r="P82" i="2"/>
  <c r="N82" i="2"/>
  <c r="L82" i="2"/>
  <c r="J82" i="2"/>
  <c r="H82" i="2"/>
  <c r="F82" i="2"/>
  <c r="D82" i="2"/>
  <c r="B82" i="2"/>
  <c r="A82" i="2"/>
  <c r="R81" i="2"/>
  <c r="P81" i="2"/>
  <c r="N81" i="2"/>
  <c r="L81" i="2"/>
  <c r="J81" i="2"/>
  <c r="H81" i="2"/>
  <c r="F81" i="2"/>
  <c r="D81" i="2"/>
  <c r="B81" i="2"/>
  <c r="A81" i="2"/>
  <c r="R80" i="2"/>
  <c r="P80" i="2"/>
  <c r="N80" i="2"/>
  <c r="L80" i="2"/>
  <c r="J80" i="2"/>
  <c r="H80" i="2"/>
  <c r="F80" i="2"/>
  <c r="D80" i="2"/>
  <c r="B80" i="2"/>
  <c r="A80" i="2"/>
  <c r="R79" i="2"/>
  <c r="P79" i="2"/>
  <c r="N79" i="2"/>
  <c r="L79" i="2"/>
  <c r="J79" i="2"/>
  <c r="H79" i="2"/>
  <c r="F79" i="2"/>
  <c r="D79" i="2"/>
  <c r="B79" i="2"/>
  <c r="A79" i="2"/>
  <c r="R78" i="2"/>
  <c r="P78" i="2"/>
  <c r="N78" i="2"/>
  <c r="L78" i="2"/>
  <c r="J78" i="2"/>
  <c r="H78" i="2"/>
  <c r="F78" i="2"/>
  <c r="D78" i="2"/>
  <c r="B78" i="2"/>
  <c r="A78" i="2"/>
  <c r="R77" i="2"/>
  <c r="P77" i="2"/>
  <c r="N77" i="2"/>
  <c r="L77" i="2"/>
  <c r="J77" i="2"/>
  <c r="H77" i="2"/>
  <c r="F77" i="2"/>
  <c r="D77" i="2"/>
  <c r="B77" i="2"/>
  <c r="A77" i="2"/>
  <c r="R76" i="2"/>
  <c r="P76" i="2"/>
  <c r="N76" i="2"/>
  <c r="L76" i="2"/>
  <c r="J76" i="2"/>
  <c r="H76" i="2"/>
  <c r="F76" i="2"/>
  <c r="D76" i="2"/>
  <c r="B76" i="2"/>
  <c r="A76" i="2"/>
  <c r="R75" i="2"/>
  <c r="P75" i="2"/>
  <c r="N75" i="2"/>
  <c r="L75" i="2"/>
  <c r="J75" i="2"/>
  <c r="H75" i="2"/>
  <c r="F75" i="2"/>
  <c r="D75" i="2"/>
  <c r="B75" i="2"/>
  <c r="A75" i="2"/>
  <c r="R74" i="2"/>
  <c r="Q74" i="2"/>
  <c r="P74" i="2"/>
  <c r="O74" i="2"/>
  <c r="N74" i="2"/>
  <c r="M74" i="2"/>
  <c r="L74" i="2"/>
  <c r="K74" i="2"/>
  <c r="J74" i="2"/>
  <c r="I74" i="2"/>
  <c r="H74" i="2"/>
  <c r="G74" i="2"/>
  <c r="F74" i="2"/>
  <c r="E74" i="2"/>
  <c r="D74" i="2"/>
  <c r="C74" i="2"/>
  <c r="B74" i="2"/>
  <c r="A74" i="2"/>
  <c r="R73" i="2"/>
  <c r="P73" i="2"/>
  <c r="N73" i="2"/>
  <c r="L73" i="2"/>
  <c r="J73" i="2"/>
  <c r="H73" i="2"/>
  <c r="F73" i="2"/>
  <c r="D73" i="2"/>
  <c r="B73" i="2"/>
  <c r="A73" i="2"/>
  <c r="R72" i="2"/>
  <c r="P72" i="2"/>
  <c r="N72" i="2"/>
  <c r="L72" i="2"/>
  <c r="J72" i="2"/>
  <c r="H72" i="2"/>
  <c r="F72" i="2"/>
  <c r="D72" i="2"/>
  <c r="B72" i="2"/>
  <c r="A72" i="2"/>
  <c r="R71" i="2"/>
  <c r="P71" i="2"/>
  <c r="N71" i="2"/>
  <c r="L71" i="2"/>
  <c r="J71" i="2"/>
  <c r="H71" i="2"/>
  <c r="F71" i="2"/>
  <c r="D71" i="2"/>
  <c r="B71" i="2"/>
  <c r="A71" i="2"/>
  <c r="R70" i="2"/>
  <c r="P70" i="2"/>
  <c r="N70" i="2"/>
  <c r="L70" i="2"/>
  <c r="J70" i="2"/>
  <c r="H70" i="2"/>
  <c r="F70" i="2"/>
  <c r="D70" i="2"/>
  <c r="B70" i="2"/>
  <c r="A70" i="2"/>
  <c r="R69" i="2"/>
  <c r="P69" i="2"/>
  <c r="N69" i="2"/>
  <c r="L69" i="2"/>
  <c r="J69" i="2"/>
  <c r="H69" i="2"/>
  <c r="F69" i="2"/>
  <c r="D69" i="2"/>
  <c r="B69" i="2"/>
  <c r="A69" i="2"/>
  <c r="R68" i="2"/>
  <c r="P68" i="2"/>
  <c r="N68" i="2"/>
  <c r="L68" i="2"/>
  <c r="J68" i="2"/>
  <c r="H68" i="2"/>
  <c r="F68" i="2"/>
  <c r="D68" i="2"/>
  <c r="B68" i="2"/>
  <c r="A68" i="2"/>
  <c r="R67" i="2"/>
  <c r="P67" i="2"/>
  <c r="N67" i="2"/>
  <c r="L67" i="2"/>
  <c r="J67" i="2"/>
  <c r="H67" i="2"/>
  <c r="F67" i="2"/>
  <c r="D67" i="2"/>
  <c r="B67" i="2"/>
  <c r="A67" i="2"/>
  <c r="R66" i="2"/>
  <c r="P66" i="2"/>
  <c r="N66" i="2"/>
  <c r="L66" i="2"/>
  <c r="J66" i="2"/>
  <c r="H66" i="2"/>
  <c r="F66" i="2"/>
  <c r="D66" i="2"/>
  <c r="B66" i="2"/>
  <c r="A66" i="2"/>
  <c r="R65" i="2"/>
  <c r="P65" i="2"/>
  <c r="N65" i="2"/>
  <c r="L65" i="2"/>
  <c r="J65" i="2"/>
  <c r="H65" i="2"/>
  <c r="F65" i="2"/>
  <c r="D65" i="2"/>
  <c r="B65" i="2"/>
  <c r="A65" i="2"/>
  <c r="R64" i="2"/>
  <c r="P64" i="2"/>
  <c r="N64" i="2"/>
  <c r="L64" i="2"/>
  <c r="J64" i="2"/>
  <c r="H64" i="2"/>
  <c r="F64" i="2"/>
  <c r="D64" i="2"/>
  <c r="B64" i="2"/>
  <c r="A64" i="2"/>
  <c r="R63" i="2"/>
  <c r="P63" i="2"/>
  <c r="N63" i="2"/>
  <c r="L63" i="2"/>
  <c r="J63" i="2"/>
  <c r="H63" i="2"/>
  <c r="F63" i="2"/>
  <c r="D63" i="2"/>
  <c r="B63" i="2"/>
  <c r="A63" i="2"/>
  <c r="R62" i="2"/>
  <c r="P62" i="2"/>
  <c r="N62" i="2"/>
  <c r="L62" i="2"/>
  <c r="J62" i="2"/>
  <c r="H62" i="2"/>
  <c r="F62" i="2"/>
  <c r="D62" i="2"/>
  <c r="B62" i="2"/>
  <c r="A62" i="2"/>
  <c r="R61" i="2"/>
  <c r="P61" i="2"/>
  <c r="N61" i="2"/>
  <c r="L61" i="2"/>
  <c r="J61" i="2"/>
  <c r="H61" i="2"/>
  <c r="F61" i="2"/>
  <c r="D61" i="2"/>
  <c r="B61" i="2"/>
  <c r="A61" i="2"/>
  <c r="R60" i="2"/>
  <c r="P60" i="2"/>
  <c r="N60" i="2"/>
  <c r="L60" i="2"/>
  <c r="J60" i="2"/>
  <c r="H60" i="2"/>
  <c r="F60" i="2"/>
  <c r="D60" i="2"/>
  <c r="B60" i="2"/>
  <c r="A60" i="2"/>
  <c r="R59" i="2"/>
  <c r="P59" i="2"/>
  <c r="N59" i="2"/>
  <c r="L59" i="2"/>
  <c r="J59" i="2"/>
  <c r="H59" i="2"/>
  <c r="F59" i="2"/>
  <c r="D59" i="2"/>
  <c r="B59" i="2"/>
  <c r="A59" i="2"/>
  <c r="R58" i="2"/>
  <c r="P58" i="2"/>
  <c r="N58" i="2"/>
  <c r="L58" i="2"/>
  <c r="J58" i="2"/>
  <c r="H58" i="2"/>
  <c r="F58" i="2"/>
  <c r="D58" i="2"/>
  <c r="B58" i="2"/>
  <c r="A58" i="2"/>
  <c r="R57" i="2"/>
  <c r="P57" i="2"/>
  <c r="N57" i="2"/>
  <c r="L57" i="2"/>
  <c r="J57" i="2"/>
  <c r="H57" i="2"/>
  <c r="F57" i="2"/>
  <c r="D57" i="2"/>
  <c r="B57" i="2"/>
  <c r="A57" i="2"/>
  <c r="R56" i="2"/>
  <c r="P56" i="2"/>
  <c r="N56" i="2"/>
  <c r="L56" i="2"/>
  <c r="J56" i="2"/>
  <c r="H56" i="2"/>
  <c r="F56" i="2"/>
  <c r="D56" i="2"/>
  <c r="B56" i="2"/>
  <c r="A56" i="2"/>
  <c r="R55" i="2"/>
  <c r="P55" i="2"/>
  <c r="N55" i="2"/>
  <c r="L55" i="2"/>
  <c r="J55" i="2"/>
  <c r="H55" i="2"/>
  <c r="F55" i="2"/>
  <c r="D55" i="2"/>
  <c r="B55" i="2"/>
  <c r="A55" i="2"/>
  <c r="R54" i="2"/>
  <c r="P54" i="2"/>
  <c r="N54" i="2"/>
  <c r="L54" i="2"/>
  <c r="J54" i="2"/>
  <c r="H54" i="2"/>
  <c r="F54" i="2"/>
  <c r="D54" i="2"/>
  <c r="B54" i="2"/>
  <c r="A54" i="2"/>
  <c r="R53" i="2"/>
  <c r="P53" i="2"/>
  <c r="N53" i="2"/>
  <c r="L53" i="2"/>
  <c r="J53" i="2"/>
  <c r="H53" i="2"/>
  <c r="F53" i="2"/>
  <c r="D53" i="2"/>
  <c r="B53" i="2"/>
  <c r="A53" i="2"/>
  <c r="R52" i="2"/>
  <c r="P52" i="2"/>
  <c r="N52" i="2"/>
  <c r="L52" i="2"/>
  <c r="J52" i="2"/>
  <c r="H52" i="2"/>
  <c r="F52" i="2"/>
  <c r="D52" i="2"/>
  <c r="B52" i="2"/>
  <c r="A52" i="2"/>
  <c r="R51" i="2"/>
  <c r="P51" i="2"/>
  <c r="N51" i="2"/>
  <c r="L51" i="2"/>
  <c r="J51" i="2"/>
  <c r="H51" i="2"/>
  <c r="F51" i="2"/>
  <c r="D51" i="2"/>
  <c r="B51" i="2"/>
  <c r="A51" i="2"/>
  <c r="R50" i="2"/>
  <c r="Q50" i="2"/>
  <c r="P50" i="2"/>
  <c r="O50" i="2"/>
  <c r="N50" i="2"/>
  <c r="M50" i="2"/>
  <c r="L50" i="2"/>
  <c r="K50" i="2"/>
  <c r="J50" i="2"/>
  <c r="I50" i="2"/>
  <c r="H50" i="2"/>
  <c r="G50" i="2"/>
  <c r="F50" i="2"/>
  <c r="E50" i="2"/>
  <c r="D50" i="2"/>
  <c r="C50" i="2"/>
  <c r="B50" i="2"/>
  <c r="A50" i="2"/>
  <c r="R49" i="2"/>
  <c r="P49" i="2"/>
  <c r="N49" i="2"/>
  <c r="L49" i="2"/>
  <c r="J49" i="2"/>
  <c r="H49" i="2"/>
  <c r="F49" i="2"/>
  <c r="D49" i="2"/>
  <c r="B49" i="2"/>
  <c r="A49" i="2"/>
  <c r="R48" i="2"/>
  <c r="P48" i="2"/>
  <c r="N48" i="2"/>
  <c r="L48" i="2"/>
  <c r="J48" i="2"/>
  <c r="H48" i="2"/>
  <c r="F48" i="2"/>
  <c r="D48" i="2"/>
  <c r="B48" i="2"/>
  <c r="A48" i="2"/>
  <c r="R47" i="2"/>
  <c r="P47" i="2"/>
  <c r="N47" i="2"/>
  <c r="L47" i="2"/>
  <c r="J47" i="2"/>
  <c r="H47" i="2"/>
  <c r="F47" i="2"/>
  <c r="D47" i="2"/>
  <c r="B47" i="2"/>
  <c r="A47" i="2"/>
  <c r="R46" i="2"/>
  <c r="P46" i="2"/>
  <c r="N46" i="2"/>
  <c r="L46" i="2"/>
  <c r="J46" i="2"/>
  <c r="H46" i="2"/>
  <c r="F46" i="2"/>
  <c r="D46" i="2"/>
  <c r="B46" i="2"/>
  <c r="A46" i="2"/>
  <c r="R45" i="2"/>
  <c r="P45" i="2"/>
  <c r="N45" i="2"/>
  <c r="L45" i="2"/>
  <c r="J45" i="2"/>
  <c r="H45" i="2"/>
  <c r="F45" i="2"/>
  <c r="D45" i="2"/>
  <c r="B45" i="2"/>
  <c r="A45" i="2"/>
  <c r="R44" i="2"/>
  <c r="P44" i="2"/>
  <c r="N44" i="2"/>
  <c r="L44" i="2"/>
  <c r="J44" i="2"/>
  <c r="H44" i="2"/>
  <c r="F44" i="2"/>
  <c r="D44" i="2"/>
  <c r="B44" i="2"/>
  <c r="A44" i="2"/>
  <c r="R43" i="2"/>
  <c r="P43" i="2"/>
  <c r="N43" i="2"/>
  <c r="L43" i="2"/>
  <c r="J43" i="2"/>
  <c r="H43" i="2"/>
  <c r="F43" i="2"/>
  <c r="D43" i="2"/>
  <c r="B43" i="2"/>
  <c r="A43" i="2"/>
  <c r="R42" i="2"/>
  <c r="P42" i="2"/>
  <c r="N42" i="2"/>
  <c r="L42" i="2"/>
  <c r="J42" i="2"/>
  <c r="H42" i="2"/>
  <c r="F42" i="2"/>
  <c r="D42" i="2"/>
  <c r="B42" i="2"/>
  <c r="A42" i="2"/>
  <c r="R41" i="2"/>
  <c r="P41" i="2"/>
  <c r="N41" i="2"/>
  <c r="L41" i="2"/>
  <c r="J41" i="2"/>
  <c r="H41" i="2"/>
  <c r="F41" i="2"/>
  <c r="D41" i="2"/>
  <c r="B41" i="2"/>
  <c r="A41" i="2"/>
  <c r="R40" i="2"/>
  <c r="P40" i="2"/>
  <c r="N40" i="2"/>
  <c r="L40" i="2"/>
  <c r="J40" i="2"/>
  <c r="H40" i="2"/>
  <c r="F40" i="2"/>
  <c r="D40" i="2"/>
  <c r="B40" i="2"/>
  <c r="A40" i="2"/>
  <c r="R39" i="2"/>
  <c r="P39" i="2"/>
  <c r="N39" i="2"/>
  <c r="L39" i="2"/>
  <c r="J39" i="2"/>
  <c r="H39" i="2"/>
  <c r="F39" i="2"/>
  <c r="D39" i="2"/>
  <c r="B39" i="2"/>
  <c r="A39" i="2"/>
  <c r="R38" i="2"/>
  <c r="P38" i="2"/>
  <c r="N38" i="2"/>
  <c r="L38" i="2"/>
  <c r="J38" i="2"/>
  <c r="H38" i="2"/>
  <c r="F38" i="2"/>
  <c r="D38" i="2"/>
  <c r="B38" i="2"/>
  <c r="A38" i="2"/>
  <c r="R37" i="2"/>
  <c r="P37" i="2"/>
  <c r="N37" i="2"/>
  <c r="L37" i="2"/>
  <c r="J37" i="2"/>
  <c r="H37" i="2"/>
  <c r="F37" i="2"/>
  <c r="D37" i="2"/>
  <c r="B37" i="2"/>
  <c r="A37" i="2"/>
  <c r="R36" i="2"/>
  <c r="P36" i="2"/>
  <c r="N36" i="2"/>
  <c r="L36" i="2"/>
  <c r="J36" i="2"/>
  <c r="H36" i="2"/>
  <c r="F36" i="2"/>
  <c r="D36" i="2"/>
  <c r="B36" i="2"/>
  <c r="A36" i="2"/>
  <c r="R35" i="2"/>
  <c r="P35" i="2"/>
  <c r="N35" i="2"/>
  <c r="L35" i="2"/>
  <c r="J35" i="2"/>
  <c r="H35" i="2"/>
  <c r="F35" i="2"/>
  <c r="D35" i="2"/>
  <c r="B35" i="2"/>
  <c r="A35" i="2"/>
  <c r="R34" i="2"/>
  <c r="P34" i="2"/>
  <c r="N34" i="2"/>
  <c r="L34" i="2"/>
  <c r="J34" i="2"/>
  <c r="H34" i="2"/>
  <c r="F34" i="2"/>
  <c r="D34" i="2"/>
  <c r="B34" i="2"/>
  <c r="A34" i="2"/>
  <c r="R33" i="2"/>
  <c r="P33" i="2"/>
  <c r="N33" i="2"/>
  <c r="L33" i="2"/>
  <c r="J33" i="2"/>
  <c r="H33" i="2"/>
  <c r="F33" i="2"/>
  <c r="D33" i="2"/>
  <c r="B33" i="2"/>
  <c r="A33" i="2"/>
  <c r="P32" i="2"/>
  <c r="N32" i="2"/>
  <c r="L32" i="2"/>
  <c r="J32" i="2"/>
  <c r="H32" i="2"/>
  <c r="F32" i="2"/>
  <c r="B32" i="2"/>
  <c r="A32" i="2"/>
  <c r="R31" i="2"/>
  <c r="P31" i="2"/>
  <c r="N31" i="2"/>
  <c r="L31" i="2"/>
  <c r="J31" i="2"/>
  <c r="H31" i="2"/>
  <c r="F31" i="2"/>
  <c r="D31" i="2"/>
  <c r="B31" i="2"/>
  <c r="A31" i="2"/>
  <c r="P30" i="2"/>
  <c r="N30" i="2"/>
  <c r="L30" i="2"/>
  <c r="J30" i="2"/>
  <c r="H30" i="2"/>
  <c r="F30" i="2"/>
  <c r="B30" i="2"/>
  <c r="A30" i="2"/>
  <c r="P29" i="2"/>
  <c r="N29" i="2"/>
  <c r="L29" i="2"/>
  <c r="J29" i="2"/>
  <c r="H29" i="2"/>
  <c r="F29" i="2"/>
  <c r="B29" i="2"/>
  <c r="A29" i="2"/>
  <c r="P28" i="2"/>
  <c r="N28" i="2"/>
  <c r="L28" i="2"/>
  <c r="J28" i="2"/>
  <c r="H28" i="2"/>
  <c r="F28" i="2"/>
  <c r="B28" i="2"/>
  <c r="A28" i="2"/>
  <c r="R27" i="2"/>
  <c r="P27" i="2"/>
  <c r="N27" i="2"/>
  <c r="L27" i="2"/>
  <c r="J27" i="2"/>
  <c r="H27" i="2"/>
  <c r="F27" i="2"/>
  <c r="D27" i="2"/>
  <c r="B27" i="2"/>
  <c r="A27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C26" i="2"/>
  <c r="B26" i="2"/>
  <c r="A26" i="2"/>
  <c r="R25" i="2"/>
  <c r="P25" i="2"/>
  <c r="N25" i="2"/>
  <c r="L25" i="2"/>
  <c r="J25" i="2"/>
  <c r="H25" i="2"/>
  <c r="F25" i="2"/>
  <c r="D25" i="2"/>
  <c r="B25" i="2"/>
  <c r="A25" i="2"/>
  <c r="R24" i="2"/>
  <c r="P24" i="2"/>
  <c r="N24" i="2"/>
  <c r="L24" i="2"/>
  <c r="J24" i="2"/>
  <c r="H24" i="2"/>
  <c r="F24" i="2"/>
  <c r="D24" i="2"/>
  <c r="B24" i="2"/>
  <c r="A24" i="2"/>
  <c r="R23" i="2"/>
  <c r="P23" i="2"/>
  <c r="N23" i="2"/>
  <c r="L23" i="2"/>
  <c r="J23" i="2"/>
  <c r="H23" i="2"/>
  <c r="F23" i="2"/>
  <c r="D23" i="2"/>
  <c r="B23" i="2"/>
  <c r="A23" i="2"/>
  <c r="P22" i="2"/>
  <c r="N22" i="2"/>
  <c r="L22" i="2"/>
  <c r="J22" i="2"/>
  <c r="H22" i="2"/>
  <c r="F22" i="2"/>
  <c r="B22" i="2"/>
  <c r="A22" i="2"/>
  <c r="R21" i="2"/>
  <c r="P21" i="2"/>
  <c r="N21" i="2"/>
  <c r="L21" i="2"/>
  <c r="J21" i="2"/>
  <c r="H21" i="2"/>
  <c r="F21" i="2"/>
  <c r="D21" i="2"/>
  <c r="B21" i="2"/>
  <c r="A21" i="2"/>
  <c r="R20" i="2"/>
  <c r="P20" i="2"/>
  <c r="N20" i="2"/>
  <c r="L20" i="2"/>
  <c r="J20" i="2"/>
  <c r="H20" i="2"/>
  <c r="F20" i="2"/>
  <c r="D20" i="2"/>
  <c r="B20" i="2"/>
  <c r="A20" i="2"/>
  <c r="R19" i="2"/>
  <c r="P19" i="2"/>
  <c r="N19" i="2"/>
  <c r="L19" i="2"/>
  <c r="J19" i="2"/>
  <c r="H19" i="2"/>
  <c r="F19" i="2"/>
  <c r="D19" i="2"/>
  <c r="B19" i="2"/>
  <c r="A19" i="2"/>
  <c r="R18" i="2"/>
  <c r="P18" i="2"/>
  <c r="N18" i="2"/>
  <c r="L18" i="2"/>
  <c r="J18" i="2"/>
  <c r="H18" i="2"/>
  <c r="F18" i="2"/>
  <c r="D18" i="2"/>
  <c r="B18" i="2"/>
  <c r="A18" i="2"/>
  <c r="R17" i="2"/>
  <c r="P17" i="2"/>
  <c r="N17" i="2"/>
  <c r="L17" i="2"/>
  <c r="J17" i="2"/>
  <c r="H17" i="2"/>
  <c r="F17" i="2"/>
  <c r="D17" i="2"/>
  <c r="B17" i="2"/>
  <c r="A17" i="2"/>
  <c r="R16" i="2"/>
  <c r="P16" i="2"/>
  <c r="N16" i="2"/>
  <c r="L16" i="2"/>
  <c r="J16" i="2"/>
  <c r="H16" i="2"/>
  <c r="F16" i="2"/>
  <c r="D16" i="2"/>
  <c r="B16" i="2"/>
  <c r="A16" i="2"/>
  <c r="R15" i="2"/>
  <c r="P15" i="2"/>
  <c r="N15" i="2"/>
  <c r="L15" i="2"/>
  <c r="J15" i="2"/>
  <c r="H15" i="2"/>
  <c r="F15" i="2"/>
  <c r="D15" i="2"/>
  <c r="B15" i="2"/>
  <c r="A15" i="2"/>
  <c r="R14" i="2"/>
  <c r="P14" i="2"/>
  <c r="N14" i="2"/>
  <c r="L14" i="2"/>
  <c r="J14" i="2"/>
  <c r="H14" i="2"/>
  <c r="F14" i="2"/>
  <c r="D14" i="2"/>
  <c r="B14" i="2"/>
  <c r="A14" i="2"/>
  <c r="R13" i="2"/>
  <c r="P13" i="2"/>
  <c r="N13" i="2"/>
  <c r="L13" i="2"/>
  <c r="J13" i="2"/>
  <c r="H13" i="2"/>
  <c r="F13" i="2"/>
  <c r="D13" i="2"/>
  <c r="B13" i="2"/>
  <c r="A13" i="2"/>
  <c r="R12" i="2"/>
  <c r="P12" i="2"/>
  <c r="N12" i="2"/>
  <c r="L12" i="2"/>
  <c r="J12" i="2"/>
  <c r="H12" i="2"/>
  <c r="F12" i="2"/>
  <c r="D12" i="2"/>
  <c r="B12" i="2"/>
  <c r="A12" i="2"/>
  <c r="R11" i="2"/>
  <c r="P11" i="2"/>
  <c r="N11" i="2"/>
  <c r="L11" i="2"/>
  <c r="J11" i="2"/>
  <c r="H11" i="2"/>
  <c r="F11" i="2"/>
  <c r="D11" i="2"/>
  <c r="B11" i="2"/>
  <c r="A11" i="2"/>
  <c r="R10" i="2"/>
  <c r="P10" i="2"/>
  <c r="N10" i="2"/>
  <c r="L10" i="2"/>
  <c r="J10" i="2"/>
  <c r="H10" i="2"/>
  <c r="F10" i="2"/>
  <c r="D10" i="2"/>
  <c r="B10" i="2"/>
  <c r="A10" i="2"/>
  <c r="P9" i="2"/>
  <c r="N9" i="2"/>
  <c r="L9" i="2"/>
  <c r="J9" i="2"/>
  <c r="H9" i="2"/>
  <c r="F9" i="2"/>
  <c r="B9" i="2"/>
  <c r="A9" i="2"/>
  <c r="R8" i="2"/>
  <c r="P8" i="2"/>
  <c r="N8" i="2"/>
  <c r="L8" i="2"/>
  <c r="J8" i="2"/>
  <c r="H8" i="2"/>
  <c r="F8" i="2"/>
  <c r="D8" i="2"/>
  <c r="B8" i="2"/>
  <c r="A8" i="2"/>
  <c r="R7" i="2"/>
  <c r="P7" i="2"/>
  <c r="N7" i="2"/>
  <c r="L7" i="2"/>
  <c r="J7" i="2"/>
  <c r="H7" i="2"/>
  <c r="F7" i="2"/>
  <c r="D7" i="2"/>
  <c r="B7" i="2"/>
  <c r="A7" i="2"/>
  <c r="P6" i="2"/>
  <c r="N6" i="2"/>
  <c r="L6" i="2"/>
  <c r="J6" i="2"/>
  <c r="H6" i="2"/>
  <c r="F6" i="2"/>
  <c r="B6" i="2"/>
  <c r="A6" i="2"/>
  <c r="P5" i="2"/>
  <c r="N5" i="2"/>
  <c r="L5" i="2"/>
  <c r="J5" i="2"/>
  <c r="H5" i="2"/>
  <c r="F5" i="2"/>
  <c r="B5" i="2"/>
  <c r="A5" i="2"/>
  <c r="R4" i="2"/>
  <c r="P4" i="2"/>
  <c r="N4" i="2"/>
  <c r="L4" i="2"/>
  <c r="J4" i="2"/>
  <c r="H4" i="2"/>
  <c r="F4" i="2"/>
  <c r="D4" i="2"/>
  <c r="B4" i="2"/>
  <c r="A4" i="2"/>
  <c r="R3" i="2"/>
  <c r="P3" i="2"/>
  <c r="N3" i="2"/>
  <c r="L3" i="2"/>
  <c r="J3" i="2"/>
  <c r="H3" i="2"/>
  <c r="F3" i="2"/>
  <c r="D3" i="2"/>
  <c r="B3" i="2"/>
  <c r="A3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A2" i="2"/>
  <c r="B1" i="2"/>
  <c r="A1" i="2"/>
  <c r="P340" i="1"/>
  <c r="O340" i="1"/>
  <c r="M340" i="1"/>
  <c r="K340" i="1"/>
  <c r="I340" i="1"/>
  <c r="G340" i="1"/>
  <c r="E340" i="1"/>
  <c r="D340" i="1"/>
  <c r="B340" i="1"/>
  <c r="A340" i="1"/>
  <c r="P339" i="1"/>
  <c r="O339" i="1"/>
  <c r="M339" i="1"/>
  <c r="K339" i="1"/>
  <c r="I339" i="1"/>
  <c r="G339" i="1"/>
  <c r="E339" i="1"/>
  <c r="D339" i="1"/>
  <c r="B339" i="1"/>
  <c r="A339" i="1"/>
  <c r="P338" i="1"/>
  <c r="O338" i="1"/>
  <c r="M338" i="1"/>
  <c r="K338" i="1"/>
  <c r="I338" i="1"/>
  <c r="G338" i="1"/>
  <c r="E338" i="1"/>
  <c r="D338" i="1"/>
  <c r="B338" i="1"/>
  <c r="A338" i="1"/>
  <c r="P337" i="1"/>
  <c r="O337" i="1"/>
  <c r="M337" i="1"/>
  <c r="K337" i="1"/>
  <c r="I337" i="1"/>
  <c r="G337" i="1"/>
  <c r="E337" i="1"/>
  <c r="D337" i="1"/>
  <c r="B337" i="1"/>
  <c r="A337" i="1"/>
  <c r="P336" i="1"/>
  <c r="O336" i="1"/>
  <c r="M336" i="1"/>
  <c r="K336" i="1"/>
  <c r="I336" i="1"/>
  <c r="G336" i="1"/>
  <c r="E336" i="1"/>
  <c r="D336" i="1"/>
  <c r="B336" i="1"/>
  <c r="A336" i="1"/>
  <c r="P335" i="1"/>
  <c r="O335" i="1"/>
  <c r="M335" i="1"/>
  <c r="K335" i="1"/>
  <c r="I335" i="1"/>
  <c r="G335" i="1"/>
  <c r="E335" i="1"/>
  <c r="D335" i="1"/>
  <c r="B335" i="1"/>
  <c r="A335" i="1"/>
  <c r="P334" i="1"/>
  <c r="O334" i="1"/>
  <c r="M334" i="1"/>
  <c r="K334" i="1"/>
  <c r="I334" i="1"/>
  <c r="G334" i="1"/>
  <c r="E334" i="1"/>
  <c r="D334" i="1"/>
  <c r="B334" i="1"/>
  <c r="A334" i="1"/>
  <c r="P333" i="1"/>
  <c r="O333" i="1"/>
  <c r="M333" i="1"/>
  <c r="K333" i="1"/>
  <c r="I333" i="1"/>
  <c r="G333" i="1"/>
  <c r="E333" i="1"/>
  <c r="D333" i="1"/>
  <c r="B333" i="1"/>
  <c r="A333" i="1"/>
  <c r="P332" i="1"/>
  <c r="O332" i="1"/>
  <c r="M332" i="1"/>
  <c r="K332" i="1"/>
  <c r="I332" i="1"/>
  <c r="G332" i="1"/>
  <c r="E332" i="1"/>
  <c r="D332" i="1"/>
  <c r="B332" i="1"/>
  <c r="A332" i="1"/>
  <c r="P331" i="1"/>
  <c r="O331" i="1"/>
  <c r="M331" i="1"/>
  <c r="K331" i="1"/>
  <c r="I331" i="1"/>
  <c r="G331" i="1"/>
  <c r="E331" i="1"/>
  <c r="D331" i="1"/>
  <c r="B331" i="1"/>
  <c r="A331" i="1"/>
  <c r="P330" i="1"/>
  <c r="O330" i="1"/>
  <c r="M330" i="1"/>
  <c r="K330" i="1"/>
  <c r="I330" i="1"/>
  <c r="G330" i="1"/>
  <c r="E330" i="1"/>
  <c r="D330" i="1"/>
  <c r="B330" i="1"/>
  <c r="A330" i="1"/>
  <c r="P329" i="1"/>
  <c r="O329" i="1"/>
  <c r="M329" i="1"/>
  <c r="K329" i="1"/>
  <c r="I329" i="1"/>
  <c r="G329" i="1"/>
  <c r="E329" i="1"/>
  <c r="D329" i="1"/>
  <c r="B329" i="1"/>
  <c r="A329" i="1"/>
  <c r="P328" i="1"/>
  <c r="O328" i="1"/>
  <c r="M328" i="1"/>
  <c r="K328" i="1"/>
  <c r="I328" i="1"/>
  <c r="G328" i="1"/>
  <c r="E328" i="1"/>
  <c r="D328" i="1"/>
  <c r="B328" i="1"/>
  <c r="A328" i="1"/>
  <c r="P327" i="1"/>
  <c r="O327" i="1"/>
  <c r="M327" i="1"/>
  <c r="K327" i="1"/>
  <c r="I327" i="1"/>
  <c r="G327" i="1"/>
  <c r="E327" i="1"/>
  <c r="D327" i="1"/>
  <c r="B327" i="1"/>
  <c r="A327" i="1"/>
  <c r="O326" i="1"/>
  <c r="M326" i="1"/>
  <c r="E326" i="1"/>
  <c r="D326" i="1"/>
  <c r="B326" i="1"/>
  <c r="A326" i="1"/>
  <c r="P325" i="1"/>
  <c r="O325" i="1"/>
  <c r="K325" i="1"/>
  <c r="I325" i="1"/>
  <c r="G325" i="1"/>
  <c r="D325" i="1"/>
  <c r="B325" i="1"/>
  <c r="A325" i="1"/>
  <c r="P324" i="1"/>
  <c r="O324" i="1"/>
  <c r="M324" i="1"/>
  <c r="K324" i="1"/>
  <c r="I324" i="1"/>
  <c r="G324" i="1"/>
  <c r="E324" i="1"/>
  <c r="D324" i="1"/>
  <c r="B324" i="1"/>
  <c r="A324" i="1"/>
  <c r="P323" i="1"/>
  <c r="O323" i="1"/>
  <c r="M323" i="1"/>
  <c r="K323" i="1"/>
  <c r="I323" i="1"/>
  <c r="G323" i="1"/>
  <c r="E323" i="1"/>
  <c r="D323" i="1"/>
  <c r="B323" i="1"/>
  <c r="A323" i="1"/>
  <c r="P322" i="1"/>
  <c r="O322" i="1"/>
  <c r="M322" i="1"/>
  <c r="K322" i="1"/>
  <c r="I322" i="1"/>
  <c r="G322" i="1"/>
  <c r="E322" i="1"/>
  <c r="D322" i="1"/>
  <c r="B322" i="1"/>
  <c r="A322" i="1"/>
  <c r="P321" i="1"/>
  <c r="O321" i="1"/>
  <c r="M321" i="1"/>
  <c r="K321" i="1"/>
  <c r="I321" i="1"/>
  <c r="G321" i="1"/>
  <c r="E321" i="1"/>
  <c r="D321" i="1"/>
  <c r="B321" i="1"/>
  <c r="A321" i="1"/>
  <c r="P320" i="1"/>
  <c r="O320" i="1"/>
  <c r="M320" i="1"/>
  <c r="K320" i="1"/>
  <c r="I320" i="1"/>
  <c r="G320" i="1"/>
  <c r="E320" i="1"/>
  <c r="D320" i="1"/>
  <c r="B320" i="1"/>
  <c r="A320" i="1"/>
  <c r="P319" i="1"/>
  <c r="O319" i="1"/>
  <c r="M319" i="1"/>
  <c r="K319" i="1"/>
  <c r="I319" i="1"/>
  <c r="G319" i="1"/>
  <c r="E319" i="1"/>
  <c r="D319" i="1"/>
  <c r="B319" i="1"/>
  <c r="A319" i="1"/>
  <c r="P318" i="1"/>
  <c r="O318" i="1"/>
  <c r="M318" i="1"/>
  <c r="K318" i="1"/>
  <c r="I318" i="1"/>
  <c r="G318" i="1"/>
  <c r="E318" i="1"/>
  <c r="D318" i="1"/>
  <c r="B318" i="1"/>
  <c r="A318" i="1"/>
  <c r="P317" i="1"/>
  <c r="O317" i="1"/>
  <c r="N317" i="1"/>
  <c r="M317" i="1"/>
  <c r="L317" i="1"/>
  <c r="K317" i="1"/>
  <c r="J317" i="1"/>
  <c r="I317" i="1"/>
  <c r="H317" i="1"/>
  <c r="G317" i="1"/>
  <c r="F317" i="1"/>
  <c r="E317" i="1"/>
  <c r="D317" i="1"/>
  <c r="C317" i="1"/>
  <c r="B317" i="1"/>
  <c r="A317" i="1"/>
  <c r="P316" i="1"/>
  <c r="O316" i="1"/>
  <c r="K316" i="1"/>
  <c r="I316" i="1"/>
  <c r="G316" i="1"/>
  <c r="E316" i="1"/>
  <c r="D316" i="1"/>
  <c r="B316" i="1"/>
  <c r="A316" i="1"/>
  <c r="P315" i="1"/>
  <c r="O315" i="1"/>
  <c r="K315" i="1"/>
  <c r="I315" i="1"/>
  <c r="G315" i="1"/>
  <c r="E315" i="1"/>
  <c r="D315" i="1"/>
  <c r="B315" i="1"/>
  <c r="A315" i="1"/>
  <c r="P314" i="1"/>
  <c r="O314" i="1"/>
  <c r="K314" i="1"/>
  <c r="I314" i="1"/>
  <c r="G314" i="1"/>
  <c r="E314" i="1"/>
  <c r="D314" i="1"/>
  <c r="B314" i="1"/>
  <c r="A314" i="1"/>
  <c r="P313" i="1"/>
  <c r="O313" i="1"/>
  <c r="K313" i="1"/>
  <c r="I313" i="1"/>
  <c r="G313" i="1"/>
  <c r="E313" i="1"/>
  <c r="D313" i="1"/>
  <c r="B313" i="1"/>
  <c r="A313" i="1"/>
  <c r="P312" i="1"/>
  <c r="O312" i="1"/>
  <c r="K312" i="1"/>
  <c r="I312" i="1"/>
  <c r="G312" i="1"/>
  <c r="E312" i="1"/>
  <c r="D312" i="1"/>
  <c r="B312" i="1"/>
  <c r="A312" i="1"/>
  <c r="P311" i="1"/>
  <c r="O311" i="1"/>
  <c r="K311" i="1"/>
  <c r="I311" i="1"/>
  <c r="G311" i="1"/>
  <c r="E311" i="1"/>
  <c r="D311" i="1"/>
  <c r="B311" i="1"/>
  <c r="A311" i="1"/>
  <c r="P310" i="1"/>
  <c r="O310" i="1"/>
  <c r="K310" i="1"/>
  <c r="I310" i="1"/>
  <c r="G310" i="1"/>
  <c r="E310" i="1"/>
  <c r="D310" i="1"/>
  <c r="B310" i="1"/>
  <c r="A310" i="1"/>
  <c r="P309" i="1"/>
  <c r="O309" i="1"/>
  <c r="K309" i="1"/>
  <c r="I309" i="1"/>
  <c r="G309" i="1"/>
  <c r="E309" i="1"/>
  <c r="D309" i="1"/>
  <c r="B309" i="1"/>
  <c r="A309" i="1"/>
  <c r="P308" i="1"/>
  <c r="O308" i="1"/>
  <c r="K308" i="1"/>
  <c r="I308" i="1"/>
  <c r="G308" i="1"/>
  <c r="E308" i="1"/>
  <c r="D308" i="1"/>
  <c r="B308" i="1"/>
  <c r="A308" i="1"/>
  <c r="P307" i="1"/>
  <c r="O307" i="1"/>
  <c r="K307" i="1"/>
  <c r="I307" i="1"/>
  <c r="G307" i="1"/>
  <c r="E307" i="1"/>
  <c r="D307" i="1"/>
  <c r="B307" i="1"/>
  <c r="A307" i="1"/>
  <c r="P306" i="1"/>
  <c r="O306" i="1"/>
  <c r="K306" i="1"/>
  <c r="I306" i="1"/>
  <c r="G306" i="1"/>
  <c r="E306" i="1"/>
  <c r="D306" i="1"/>
  <c r="B306" i="1"/>
  <c r="A306" i="1"/>
  <c r="P305" i="1"/>
  <c r="O305" i="1"/>
  <c r="K305" i="1"/>
  <c r="I305" i="1"/>
  <c r="G305" i="1"/>
  <c r="E305" i="1"/>
  <c r="D305" i="1"/>
  <c r="B305" i="1"/>
  <c r="A305" i="1"/>
  <c r="P304" i="1"/>
  <c r="O304" i="1"/>
  <c r="K304" i="1"/>
  <c r="I304" i="1"/>
  <c r="G304" i="1"/>
  <c r="E304" i="1"/>
  <c r="D304" i="1"/>
  <c r="B304" i="1"/>
  <c r="A304" i="1"/>
  <c r="P303" i="1"/>
  <c r="O303" i="1"/>
  <c r="K303" i="1"/>
  <c r="I303" i="1"/>
  <c r="G303" i="1"/>
  <c r="E303" i="1"/>
  <c r="D303" i="1"/>
  <c r="B303" i="1"/>
  <c r="A303" i="1"/>
  <c r="P302" i="1"/>
  <c r="O302" i="1"/>
  <c r="K302" i="1"/>
  <c r="I302" i="1"/>
  <c r="G302" i="1"/>
  <c r="E302" i="1"/>
  <c r="D302" i="1"/>
  <c r="B302" i="1"/>
  <c r="A302" i="1"/>
  <c r="P301" i="1"/>
  <c r="O301" i="1"/>
  <c r="K301" i="1"/>
  <c r="I301" i="1"/>
  <c r="G301" i="1"/>
  <c r="E301" i="1"/>
  <c r="D301" i="1"/>
  <c r="B301" i="1"/>
  <c r="A301" i="1"/>
  <c r="P300" i="1"/>
  <c r="O300" i="1"/>
  <c r="K300" i="1"/>
  <c r="I300" i="1"/>
  <c r="G300" i="1"/>
  <c r="E300" i="1"/>
  <c r="D300" i="1"/>
  <c r="B300" i="1"/>
  <c r="A300" i="1"/>
  <c r="P299" i="1"/>
  <c r="O299" i="1"/>
  <c r="K299" i="1"/>
  <c r="I299" i="1"/>
  <c r="G299" i="1"/>
  <c r="E299" i="1"/>
  <c r="D299" i="1"/>
  <c r="B299" i="1"/>
  <c r="A299" i="1"/>
  <c r="P298" i="1"/>
  <c r="O298" i="1"/>
  <c r="K298" i="1"/>
  <c r="I298" i="1"/>
  <c r="G298" i="1"/>
  <c r="E298" i="1"/>
  <c r="D298" i="1"/>
  <c r="B298" i="1"/>
  <c r="A298" i="1"/>
  <c r="P297" i="1"/>
  <c r="O297" i="1"/>
  <c r="K297" i="1"/>
  <c r="I297" i="1"/>
  <c r="G297" i="1"/>
  <c r="E297" i="1"/>
  <c r="D297" i="1"/>
  <c r="B297" i="1"/>
  <c r="A297" i="1"/>
  <c r="P296" i="1"/>
  <c r="O296" i="1"/>
  <c r="K296" i="1"/>
  <c r="I296" i="1"/>
  <c r="G296" i="1"/>
  <c r="E296" i="1"/>
  <c r="D296" i="1"/>
  <c r="B296" i="1"/>
  <c r="A296" i="1"/>
  <c r="P295" i="1"/>
  <c r="O295" i="1"/>
  <c r="K295" i="1"/>
  <c r="I295" i="1"/>
  <c r="G295" i="1"/>
  <c r="E295" i="1"/>
  <c r="D295" i="1"/>
  <c r="B295" i="1"/>
  <c r="A295" i="1"/>
  <c r="P294" i="1"/>
  <c r="O294" i="1"/>
  <c r="K294" i="1"/>
  <c r="I294" i="1"/>
  <c r="G294" i="1"/>
  <c r="E294" i="1"/>
  <c r="D294" i="1"/>
  <c r="B294" i="1"/>
  <c r="A294" i="1"/>
  <c r="P293" i="1"/>
  <c r="O293" i="1"/>
  <c r="N293" i="1"/>
  <c r="K293" i="1"/>
  <c r="J293" i="1"/>
  <c r="I293" i="1"/>
  <c r="H293" i="1"/>
  <c r="G293" i="1"/>
  <c r="F293" i="1"/>
  <c r="E293" i="1"/>
  <c r="D293" i="1"/>
  <c r="C293" i="1"/>
  <c r="B293" i="1"/>
  <c r="A293" i="1"/>
  <c r="P292" i="1"/>
  <c r="O292" i="1"/>
  <c r="K292" i="1"/>
  <c r="I292" i="1"/>
  <c r="G292" i="1"/>
  <c r="E292" i="1"/>
  <c r="D292" i="1"/>
  <c r="B292" i="1"/>
  <c r="A292" i="1"/>
  <c r="P291" i="1"/>
  <c r="O291" i="1"/>
  <c r="K291" i="1"/>
  <c r="I291" i="1"/>
  <c r="G291" i="1"/>
  <c r="E291" i="1"/>
  <c r="D291" i="1"/>
  <c r="B291" i="1"/>
  <c r="A291" i="1"/>
  <c r="P290" i="1"/>
  <c r="O290" i="1"/>
  <c r="K290" i="1"/>
  <c r="I290" i="1"/>
  <c r="G290" i="1"/>
  <c r="E290" i="1"/>
  <c r="D290" i="1"/>
  <c r="B290" i="1"/>
  <c r="A290" i="1"/>
  <c r="P289" i="1"/>
  <c r="O289" i="1"/>
  <c r="K289" i="1"/>
  <c r="I289" i="1"/>
  <c r="G289" i="1"/>
  <c r="E289" i="1"/>
  <c r="D289" i="1"/>
  <c r="B289" i="1"/>
  <c r="A289" i="1"/>
  <c r="P288" i="1"/>
  <c r="O288" i="1"/>
  <c r="K288" i="1"/>
  <c r="I288" i="1"/>
  <c r="G288" i="1"/>
  <c r="E288" i="1"/>
  <c r="D288" i="1"/>
  <c r="B288" i="1"/>
  <c r="A288" i="1"/>
  <c r="P287" i="1"/>
  <c r="O287" i="1"/>
  <c r="K287" i="1"/>
  <c r="I287" i="1"/>
  <c r="G287" i="1"/>
  <c r="E287" i="1"/>
  <c r="D287" i="1"/>
  <c r="B287" i="1"/>
  <c r="A287" i="1"/>
  <c r="P286" i="1"/>
  <c r="O286" i="1"/>
  <c r="K286" i="1"/>
  <c r="I286" i="1"/>
  <c r="G286" i="1"/>
  <c r="E286" i="1"/>
  <c r="D286" i="1"/>
  <c r="B286" i="1"/>
  <c r="A286" i="1"/>
  <c r="P285" i="1"/>
  <c r="O285" i="1"/>
  <c r="K285" i="1"/>
  <c r="I285" i="1"/>
  <c r="G285" i="1"/>
  <c r="E285" i="1"/>
  <c r="D285" i="1"/>
  <c r="B285" i="1"/>
  <c r="A285" i="1"/>
  <c r="P284" i="1"/>
  <c r="O284" i="1"/>
  <c r="K284" i="1"/>
  <c r="I284" i="1"/>
  <c r="G284" i="1"/>
  <c r="E284" i="1"/>
  <c r="D284" i="1"/>
  <c r="B284" i="1"/>
  <c r="A284" i="1"/>
  <c r="P283" i="1"/>
  <c r="O283" i="1"/>
  <c r="K283" i="1"/>
  <c r="I283" i="1"/>
  <c r="G283" i="1"/>
  <c r="E283" i="1"/>
  <c r="D283" i="1"/>
  <c r="B283" i="1"/>
  <c r="A283" i="1"/>
  <c r="P282" i="1"/>
  <c r="O282" i="1"/>
  <c r="K282" i="1"/>
  <c r="I282" i="1"/>
  <c r="G282" i="1"/>
  <c r="E282" i="1"/>
  <c r="D282" i="1"/>
  <c r="B282" i="1"/>
  <c r="A282" i="1"/>
  <c r="P281" i="1"/>
  <c r="O281" i="1"/>
  <c r="K281" i="1"/>
  <c r="I281" i="1"/>
  <c r="G281" i="1"/>
  <c r="E281" i="1"/>
  <c r="D281" i="1"/>
  <c r="B281" i="1"/>
  <c r="A281" i="1"/>
  <c r="P280" i="1"/>
  <c r="O280" i="1"/>
  <c r="K280" i="1"/>
  <c r="I280" i="1"/>
  <c r="G280" i="1"/>
  <c r="E280" i="1"/>
  <c r="D280" i="1"/>
  <c r="B280" i="1"/>
  <c r="A280" i="1"/>
  <c r="P279" i="1"/>
  <c r="O279" i="1"/>
  <c r="K279" i="1"/>
  <c r="I279" i="1"/>
  <c r="G279" i="1"/>
  <c r="E279" i="1"/>
  <c r="D279" i="1"/>
  <c r="B279" i="1"/>
  <c r="A279" i="1"/>
  <c r="P278" i="1"/>
  <c r="O278" i="1"/>
  <c r="K278" i="1"/>
  <c r="I278" i="1"/>
  <c r="G278" i="1"/>
  <c r="E278" i="1"/>
  <c r="D278" i="1"/>
  <c r="B278" i="1"/>
  <c r="A278" i="1"/>
  <c r="P277" i="1"/>
  <c r="O277" i="1"/>
  <c r="K277" i="1"/>
  <c r="I277" i="1"/>
  <c r="G277" i="1"/>
  <c r="E277" i="1"/>
  <c r="D277" i="1"/>
  <c r="B277" i="1"/>
  <c r="A277" i="1"/>
  <c r="P276" i="1"/>
  <c r="O276" i="1"/>
  <c r="K276" i="1"/>
  <c r="I276" i="1"/>
  <c r="G276" i="1"/>
  <c r="E276" i="1"/>
  <c r="D276" i="1"/>
  <c r="B276" i="1"/>
  <c r="A276" i="1"/>
  <c r="P275" i="1"/>
  <c r="O275" i="1"/>
  <c r="K275" i="1"/>
  <c r="I275" i="1"/>
  <c r="G275" i="1"/>
  <c r="E275" i="1"/>
  <c r="D275" i="1"/>
  <c r="B275" i="1"/>
  <c r="A275" i="1"/>
  <c r="P274" i="1"/>
  <c r="O274" i="1"/>
  <c r="K274" i="1"/>
  <c r="I274" i="1"/>
  <c r="G274" i="1"/>
  <c r="E274" i="1"/>
  <c r="D274" i="1"/>
  <c r="B274" i="1"/>
  <c r="A274" i="1"/>
  <c r="P273" i="1"/>
  <c r="O273" i="1"/>
  <c r="K273" i="1"/>
  <c r="I273" i="1"/>
  <c r="G273" i="1"/>
  <c r="E273" i="1"/>
  <c r="D273" i="1"/>
  <c r="B273" i="1"/>
  <c r="A273" i="1"/>
  <c r="P272" i="1"/>
  <c r="O272" i="1"/>
  <c r="K272" i="1"/>
  <c r="I272" i="1"/>
  <c r="G272" i="1"/>
  <c r="E272" i="1"/>
  <c r="D272" i="1"/>
  <c r="B272" i="1"/>
  <c r="A272" i="1"/>
  <c r="P271" i="1"/>
  <c r="O271" i="1"/>
  <c r="K271" i="1"/>
  <c r="I271" i="1"/>
  <c r="G271" i="1"/>
  <c r="E271" i="1"/>
  <c r="D271" i="1"/>
  <c r="B271" i="1"/>
  <c r="A271" i="1"/>
  <c r="P270" i="1"/>
  <c r="O270" i="1"/>
  <c r="K270" i="1"/>
  <c r="I270" i="1"/>
  <c r="G270" i="1"/>
  <c r="E270" i="1"/>
  <c r="D270" i="1"/>
  <c r="B270" i="1"/>
  <c r="A270" i="1"/>
  <c r="P269" i="1"/>
  <c r="O269" i="1"/>
  <c r="N269" i="1"/>
  <c r="K269" i="1"/>
  <c r="J269" i="1"/>
  <c r="I269" i="1"/>
  <c r="H269" i="1"/>
  <c r="G269" i="1"/>
  <c r="F269" i="1"/>
  <c r="E269" i="1"/>
  <c r="D269" i="1"/>
  <c r="C269" i="1"/>
  <c r="B269" i="1"/>
  <c r="A269" i="1"/>
  <c r="P268" i="1"/>
  <c r="O268" i="1"/>
  <c r="K268" i="1"/>
  <c r="I268" i="1"/>
  <c r="G268" i="1"/>
  <c r="E268" i="1"/>
  <c r="D268" i="1"/>
  <c r="B268" i="1"/>
  <c r="A268" i="1"/>
  <c r="P267" i="1"/>
  <c r="O267" i="1"/>
  <c r="K267" i="1"/>
  <c r="I267" i="1"/>
  <c r="G267" i="1"/>
  <c r="E267" i="1"/>
  <c r="D267" i="1"/>
  <c r="B267" i="1"/>
  <c r="A267" i="1"/>
  <c r="P266" i="1"/>
  <c r="O266" i="1"/>
  <c r="K266" i="1"/>
  <c r="I266" i="1"/>
  <c r="G266" i="1"/>
  <c r="E266" i="1"/>
  <c r="D266" i="1"/>
  <c r="B266" i="1"/>
  <c r="A266" i="1"/>
  <c r="P265" i="1"/>
  <c r="O265" i="1"/>
  <c r="K265" i="1"/>
  <c r="I265" i="1"/>
  <c r="G265" i="1"/>
  <c r="E265" i="1"/>
  <c r="D265" i="1"/>
  <c r="B265" i="1"/>
  <c r="A265" i="1"/>
  <c r="P264" i="1"/>
  <c r="O264" i="1"/>
  <c r="K264" i="1"/>
  <c r="I264" i="1"/>
  <c r="G264" i="1"/>
  <c r="E264" i="1"/>
  <c r="D264" i="1"/>
  <c r="B264" i="1"/>
  <c r="A264" i="1"/>
  <c r="P263" i="1"/>
  <c r="O263" i="1"/>
  <c r="K263" i="1"/>
  <c r="I263" i="1"/>
  <c r="G263" i="1"/>
  <c r="E263" i="1"/>
  <c r="D263" i="1"/>
  <c r="B263" i="1"/>
  <c r="A263" i="1"/>
  <c r="P262" i="1"/>
  <c r="O262" i="1"/>
  <c r="K262" i="1"/>
  <c r="I262" i="1"/>
  <c r="G262" i="1"/>
  <c r="E262" i="1"/>
  <c r="D262" i="1"/>
  <c r="B262" i="1"/>
  <c r="A262" i="1"/>
  <c r="P261" i="1"/>
  <c r="O261" i="1"/>
  <c r="K261" i="1"/>
  <c r="I261" i="1"/>
  <c r="G261" i="1"/>
  <c r="E261" i="1"/>
  <c r="D261" i="1"/>
  <c r="B261" i="1"/>
  <c r="A261" i="1"/>
  <c r="P260" i="1"/>
  <c r="O260" i="1"/>
  <c r="K260" i="1"/>
  <c r="I260" i="1"/>
  <c r="G260" i="1"/>
  <c r="E260" i="1"/>
  <c r="D260" i="1"/>
  <c r="B260" i="1"/>
  <c r="A260" i="1"/>
  <c r="P259" i="1"/>
  <c r="O259" i="1"/>
  <c r="K259" i="1"/>
  <c r="I259" i="1"/>
  <c r="G259" i="1"/>
  <c r="E259" i="1"/>
  <c r="D259" i="1"/>
  <c r="B259" i="1"/>
  <c r="A259" i="1"/>
  <c r="P258" i="1"/>
  <c r="O258" i="1"/>
  <c r="K258" i="1"/>
  <c r="I258" i="1"/>
  <c r="G258" i="1"/>
  <c r="E258" i="1"/>
  <c r="D258" i="1"/>
  <c r="B258" i="1"/>
  <c r="A258" i="1"/>
  <c r="P257" i="1"/>
  <c r="O257" i="1"/>
  <c r="K257" i="1"/>
  <c r="I257" i="1"/>
  <c r="G257" i="1"/>
  <c r="E257" i="1"/>
  <c r="D257" i="1"/>
  <c r="B257" i="1"/>
  <c r="A257" i="1"/>
  <c r="P256" i="1"/>
  <c r="O256" i="1"/>
  <c r="K256" i="1"/>
  <c r="I256" i="1"/>
  <c r="G256" i="1"/>
  <c r="E256" i="1"/>
  <c r="D256" i="1"/>
  <c r="B256" i="1"/>
  <c r="A256" i="1"/>
  <c r="P255" i="1"/>
  <c r="O255" i="1"/>
  <c r="K255" i="1"/>
  <c r="I255" i="1"/>
  <c r="G255" i="1"/>
  <c r="E255" i="1"/>
  <c r="D255" i="1"/>
  <c r="B255" i="1"/>
  <c r="A255" i="1"/>
  <c r="P254" i="1"/>
  <c r="O254" i="1"/>
  <c r="K254" i="1"/>
  <c r="I254" i="1"/>
  <c r="G254" i="1"/>
  <c r="E254" i="1"/>
  <c r="D254" i="1"/>
  <c r="B254" i="1"/>
  <c r="A254" i="1"/>
  <c r="P253" i="1"/>
  <c r="O253" i="1"/>
  <c r="K253" i="1"/>
  <c r="I253" i="1"/>
  <c r="G253" i="1"/>
  <c r="E253" i="1"/>
  <c r="D253" i="1"/>
  <c r="B253" i="1"/>
  <c r="A253" i="1"/>
  <c r="P252" i="1"/>
  <c r="O252" i="1"/>
  <c r="K252" i="1"/>
  <c r="I252" i="1"/>
  <c r="G252" i="1"/>
  <c r="E252" i="1"/>
  <c r="D252" i="1"/>
  <c r="B252" i="1"/>
  <c r="A252" i="1"/>
  <c r="P251" i="1"/>
  <c r="O251" i="1"/>
  <c r="K251" i="1"/>
  <c r="I251" i="1"/>
  <c r="G251" i="1"/>
  <c r="E251" i="1"/>
  <c r="D251" i="1"/>
  <c r="B251" i="1"/>
  <c r="A251" i="1"/>
  <c r="P250" i="1"/>
  <c r="O250" i="1"/>
  <c r="K250" i="1"/>
  <c r="I250" i="1"/>
  <c r="G250" i="1"/>
  <c r="E250" i="1"/>
  <c r="D250" i="1"/>
  <c r="B250" i="1"/>
  <c r="A250" i="1"/>
  <c r="P249" i="1"/>
  <c r="O249" i="1"/>
  <c r="K249" i="1"/>
  <c r="I249" i="1"/>
  <c r="G249" i="1"/>
  <c r="E249" i="1"/>
  <c r="D249" i="1"/>
  <c r="B249" i="1"/>
  <c r="A249" i="1"/>
  <c r="P248" i="1"/>
  <c r="O248" i="1"/>
  <c r="K248" i="1"/>
  <c r="I248" i="1"/>
  <c r="G248" i="1"/>
  <c r="E248" i="1"/>
  <c r="D248" i="1"/>
  <c r="B248" i="1"/>
  <c r="A248" i="1"/>
  <c r="P247" i="1"/>
  <c r="O247" i="1"/>
  <c r="K247" i="1"/>
  <c r="I247" i="1"/>
  <c r="G247" i="1"/>
  <c r="E247" i="1"/>
  <c r="D247" i="1"/>
  <c r="B247" i="1"/>
  <c r="A247" i="1"/>
  <c r="P246" i="1"/>
  <c r="O246" i="1"/>
  <c r="K246" i="1"/>
  <c r="I246" i="1"/>
  <c r="G246" i="1"/>
  <c r="E246" i="1"/>
  <c r="D246" i="1"/>
  <c r="B246" i="1"/>
  <c r="A246" i="1"/>
  <c r="P245" i="1"/>
  <c r="O245" i="1"/>
  <c r="N245" i="1"/>
  <c r="K245" i="1"/>
  <c r="J245" i="1"/>
  <c r="I245" i="1"/>
  <c r="H245" i="1"/>
  <c r="G245" i="1"/>
  <c r="F245" i="1"/>
  <c r="E245" i="1"/>
  <c r="D245" i="1"/>
  <c r="C245" i="1"/>
  <c r="B245" i="1"/>
  <c r="A245" i="1"/>
  <c r="P244" i="1"/>
  <c r="O244" i="1"/>
  <c r="K244" i="1"/>
  <c r="I244" i="1"/>
  <c r="G244" i="1"/>
  <c r="E244" i="1"/>
  <c r="D244" i="1"/>
  <c r="B244" i="1"/>
  <c r="A244" i="1"/>
  <c r="P243" i="1"/>
  <c r="O243" i="1"/>
  <c r="K243" i="1"/>
  <c r="I243" i="1"/>
  <c r="G243" i="1"/>
  <c r="E243" i="1"/>
  <c r="D243" i="1"/>
  <c r="B243" i="1"/>
  <c r="A243" i="1"/>
  <c r="P242" i="1"/>
  <c r="O242" i="1"/>
  <c r="K242" i="1"/>
  <c r="I242" i="1"/>
  <c r="G242" i="1"/>
  <c r="E242" i="1"/>
  <c r="D242" i="1"/>
  <c r="B242" i="1"/>
  <c r="A242" i="1"/>
  <c r="P241" i="1"/>
  <c r="O241" i="1"/>
  <c r="K241" i="1"/>
  <c r="I241" i="1"/>
  <c r="G241" i="1"/>
  <c r="E241" i="1"/>
  <c r="D241" i="1"/>
  <c r="B241" i="1"/>
  <c r="A241" i="1"/>
  <c r="P240" i="1"/>
  <c r="O240" i="1"/>
  <c r="K240" i="1"/>
  <c r="I240" i="1"/>
  <c r="G240" i="1"/>
  <c r="E240" i="1"/>
  <c r="D240" i="1"/>
  <c r="B240" i="1"/>
  <c r="A240" i="1"/>
  <c r="P239" i="1"/>
  <c r="O239" i="1"/>
  <c r="K239" i="1"/>
  <c r="I239" i="1"/>
  <c r="G239" i="1"/>
  <c r="E239" i="1"/>
  <c r="D239" i="1"/>
  <c r="B239" i="1"/>
  <c r="A239" i="1"/>
  <c r="P238" i="1"/>
  <c r="O238" i="1"/>
  <c r="K238" i="1"/>
  <c r="I238" i="1"/>
  <c r="G238" i="1"/>
  <c r="E238" i="1"/>
  <c r="D238" i="1"/>
  <c r="B238" i="1"/>
  <c r="A238" i="1"/>
  <c r="P237" i="1"/>
  <c r="O237" i="1"/>
  <c r="K237" i="1"/>
  <c r="I237" i="1"/>
  <c r="G237" i="1"/>
  <c r="E237" i="1"/>
  <c r="D237" i="1"/>
  <c r="B237" i="1"/>
  <c r="A237" i="1"/>
  <c r="P236" i="1"/>
  <c r="O236" i="1"/>
  <c r="K236" i="1"/>
  <c r="I236" i="1"/>
  <c r="G236" i="1"/>
  <c r="E236" i="1"/>
  <c r="D236" i="1"/>
  <c r="B236" i="1"/>
  <c r="A236" i="1"/>
  <c r="P235" i="1"/>
  <c r="O235" i="1"/>
  <c r="K235" i="1"/>
  <c r="I235" i="1"/>
  <c r="G235" i="1"/>
  <c r="E235" i="1"/>
  <c r="D235" i="1"/>
  <c r="B235" i="1"/>
  <c r="A235" i="1"/>
  <c r="P234" i="1"/>
  <c r="O234" i="1"/>
  <c r="K234" i="1"/>
  <c r="I234" i="1"/>
  <c r="G234" i="1"/>
  <c r="E234" i="1"/>
  <c r="D234" i="1"/>
  <c r="B234" i="1"/>
  <c r="A234" i="1"/>
  <c r="P233" i="1"/>
  <c r="O233" i="1"/>
  <c r="K233" i="1"/>
  <c r="I233" i="1"/>
  <c r="G233" i="1"/>
  <c r="E233" i="1"/>
  <c r="D233" i="1"/>
  <c r="B233" i="1"/>
  <c r="A233" i="1"/>
  <c r="P232" i="1"/>
  <c r="O232" i="1"/>
  <c r="K232" i="1"/>
  <c r="I232" i="1"/>
  <c r="G232" i="1"/>
  <c r="E232" i="1"/>
  <c r="D232" i="1"/>
  <c r="B232" i="1"/>
  <c r="A232" i="1"/>
  <c r="P231" i="1"/>
  <c r="O231" i="1"/>
  <c r="K231" i="1"/>
  <c r="I231" i="1"/>
  <c r="G231" i="1"/>
  <c r="E231" i="1"/>
  <c r="D231" i="1"/>
  <c r="B231" i="1"/>
  <c r="A231" i="1"/>
  <c r="P230" i="1"/>
  <c r="O230" i="1"/>
  <c r="K230" i="1"/>
  <c r="I230" i="1"/>
  <c r="G230" i="1"/>
  <c r="E230" i="1"/>
  <c r="D230" i="1"/>
  <c r="B230" i="1"/>
  <c r="A230" i="1"/>
  <c r="P229" i="1"/>
  <c r="O229" i="1"/>
  <c r="K229" i="1"/>
  <c r="I229" i="1"/>
  <c r="G229" i="1"/>
  <c r="E229" i="1"/>
  <c r="D229" i="1"/>
  <c r="B229" i="1"/>
  <c r="A229" i="1"/>
  <c r="P228" i="1"/>
  <c r="O228" i="1"/>
  <c r="K228" i="1"/>
  <c r="I228" i="1"/>
  <c r="G228" i="1"/>
  <c r="E228" i="1"/>
  <c r="D228" i="1"/>
  <c r="B228" i="1"/>
  <c r="A228" i="1"/>
  <c r="P227" i="1"/>
  <c r="O227" i="1"/>
  <c r="K227" i="1"/>
  <c r="I227" i="1"/>
  <c r="G227" i="1"/>
  <c r="E227" i="1"/>
  <c r="D227" i="1"/>
  <c r="B227" i="1"/>
  <c r="A227" i="1"/>
  <c r="P226" i="1"/>
  <c r="O226" i="1"/>
  <c r="K226" i="1"/>
  <c r="I226" i="1"/>
  <c r="G226" i="1"/>
  <c r="E226" i="1"/>
  <c r="D226" i="1"/>
  <c r="B226" i="1"/>
  <c r="A226" i="1"/>
  <c r="P225" i="1"/>
  <c r="O225" i="1"/>
  <c r="K225" i="1"/>
  <c r="I225" i="1"/>
  <c r="G225" i="1"/>
  <c r="E225" i="1"/>
  <c r="D225" i="1"/>
  <c r="B225" i="1"/>
  <c r="A225" i="1"/>
  <c r="P224" i="1"/>
  <c r="O224" i="1"/>
  <c r="K224" i="1"/>
  <c r="I224" i="1"/>
  <c r="G224" i="1"/>
  <c r="E224" i="1"/>
  <c r="D224" i="1"/>
  <c r="B224" i="1"/>
  <c r="A224" i="1"/>
  <c r="P223" i="1"/>
  <c r="O223" i="1"/>
  <c r="K223" i="1"/>
  <c r="I223" i="1"/>
  <c r="G223" i="1"/>
  <c r="E223" i="1"/>
  <c r="D223" i="1"/>
  <c r="B223" i="1"/>
  <c r="A223" i="1"/>
  <c r="P222" i="1"/>
  <c r="O222" i="1"/>
  <c r="K222" i="1"/>
  <c r="I222" i="1"/>
  <c r="G222" i="1"/>
  <c r="E222" i="1"/>
  <c r="D222" i="1"/>
  <c r="B222" i="1"/>
  <c r="A222" i="1"/>
  <c r="P221" i="1"/>
  <c r="O221" i="1"/>
  <c r="N221" i="1"/>
  <c r="K221" i="1"/>
  <c r="J221" i="1"/>
  <c r="I221" i="1"/>
  <c r="H221" i="1"/>
  <c r="G221" i="1"/>
  <c r="F221" i="1"/>
  <c r="E221" i="1"/>
  <c r="D221" i="1"/>
  <c r="C221" i="1"/>
  <c r="B221" i="1"/>
  <c r="A221" i="1"/>
  <c r="P220" i="1"/>
  <c r="O220" i="1"/>
  <c r="K220" i="1"/>
  <c r="I220" i="1"/>
  <c r="G220" i="1"/>
  <c r="E220" i="1"/>
  <c r="D220" i="1"/>
  <c r="B220" i="1"/>
  <c r="A220" i="1"/>
  <c r="P219" i="1"/>
  <c r="O219" i="1"/>
  <c r="K219" i="1"/>
  <c r="I219" i="1"/>
  <c r="G219" i="1"/>
  <c r="E219" i="1"/>
  <c r="D219" i="1"/>
  <c r="B219" i="1"/>
  <c r="A219" i="1"/>
  <c r="P218" i="1"/>
  <c r="O218" i="1"/>
  <c r="K218" i="1"/>
  <c r="I218" i="1"/>
  <c r="G218" i="1"/>
  <c r="E218" i="1"/>
  <c r="D218" i="1"/>
  <c r="B218" i="1"/>
  <c r="A218" i="1"/>
  <c r="P217" i="1"/>
  <c r="O217" i="1"/>
  <c r="K217" i="1"/>
  <c r="I217" i="1"/>
  <c r="G217" i="1"/>
  <c r="E217" i="1"/>
  <c r="D217" i="1"/>
  <c r="B217" i="1"/>
  <c r="A217" i="1"/>
  <c r="P216" i="1"/>
  <c r="O216" i="1"/>
  <c r="K216" i="1"/>
  <c r="I216" i="1"/>
  <c r="G216" i="1"/>
  <c r="E216" i="1"/>
  <c r="D216" i="1"/>
  <c r="B216" i="1"/>
  <c r="A216" i="1"/>
  <c r="P215" i="1"/>
  <c r="O215" i="1"/>
  <c r="K215" i="1"/>
  <c r="I215" i="1"/>
  <c r="G215" i="1"/>
  <c r="E215" i="1"/>
  <c r="D215" i="1"/>
  <c r="B215" i="1"/>
  <c r="A215" i="1"/>
  <c r="P214" i="1"/>
  <c r="O214" i="1"/>
  <c r="K214" i="1"/>
  <c r="I214" i="1"/>
  <c r="G214" i="1"/>
  <c r="E214" i="1"/>
  <c r="D214" i="1"/>
  <c r="B214" i="1"/>
  <c r="A214" i="1"/>
  <c r="P213" i="1"/>
  <c r="O213" i="1"/>
  <c r="K213" i="1"/>
  <c r="I213" i="1"/>
  <c r="G213" i="1"/>
  <c r="E213" i="1"/>
  <c r="D213" i="1"/>
  <c r="B213" i="1"/>
  <c r="A213" i="1"/>
  <c r="P212" i="1"/>
  <c r="O212" i="1"/>
  <c r="K212" i="1"/>
  <c r="I212" i="1"/>
  <c r="G212" i="1"/>
  <c r="E212" i="1"/>
  <c r="D212" i="1"/>
  <c r="B212" i="1"/>
  <c r="A212" i="1"/>
  <c r="P211" i="1"/>
  <c r="O211" i="1"/>
  <c r="K211" i="1"/>
  <c r="I211" i="1"/>
  <c r="G211" i="1"/>
  <c r="E211" i="1"/>
  <c r="D211" i="1"/>
  <c r="B211" i="1"/>
  <c r="A211" i="1"/>
  <c r="P210" i="1"/>
  <c r="O210" i="1"/>
  <c r="K210" i="1"/>
  <c r="I210" i="1"/>
  <c r="G210" i="1"/>
  <c r="E210" i="1"/>
  <c r="D210" i="1"/>
  <c r="B210" i="1"/>
  <c r="A210" i="1"/>
  <c r="P209" i="1"/>
  <c r="O209" i="1"/>
  <c r="K209" i="1"/>
  <c r="I209" i="1"/>
  <c r="G209" i="1"/>
  <c r="E209" i="1"/>
  <c r="D209" i="1"/>
  <c r="B209" i="1"/>
  <c r="A209" i="1"/>
  <c r="P208" i="1"/>
  <c r="O208" i="1"/>
  <c r="K208" i="1"/>
  <c r="I208" i="1"/>
  <c r="G208" i="1"/>
  <c r="E208" i="1"/>
  <c r="D208" i="1"/>
  <c r="B208" i="1"/>
  <c r="A208" i="1"/>
  <c r="P207" i="1"/>
  <c r="O207" i="1"/>
  <c r="K207" i="1"/>
  <c r="I207" i="1"/>
  <c r="G207" i="1"/>
  <c r="E207" i="1"/>
  <c r="D207" i="1"/>
  <c r="B207" i="1"/>
  <c r="A207" i="1"/>
  <c r="P206" i="1"/>
  <c r="O206" i="1"/>
  <c r="K206" i="1"/>
  <c r="I206" i="1"/>
  <c r="G206" i="1"/>
  <c r="E206" i="1"/>
  <c r="D206" i="1"/>
  <c r="B206" i="1"/>
  <c r="A206" i="1"/>
  <c r="P205" i="1"/>
  <c r="O205" i="1"/>
  <c r="K205" i="1"/>
  <c r="I205" i="1"/>
  <c r="G205" i="1"/>
  <c r="E205" i="1"/>
  <c r="D205" i="1"/>
  <c r="B205" i="1"/>
  <c r="A205" i="1"/>
  <c r="P204" i="1"/>
  <c r="O204" i="1"/>
  <c r="K204" i="1"/>
  <c r="I204" i="1"/>
  <c r="G204" i="1"/>
  <c r="E204" i="1"/>
  <c r="D204" i="1"/>
  <c r="B204" i="1"/>
  <c r="A204" i="1"/>
  <c r="P203" i="1"/>
  <c r="O203" i="1"/>
  <c r="K203" i="1"/>
  <c r="I203" i="1"/>
  <c r="G203" i="1"/>
  <c r="E203" i="1"/>
  <c r="D203" i="1"/>
  <c r="B203" i="1"/>
  <c r="A203" i="1"/>
  <c r="P202" i="1"/>
  <c r="O202" i="1"/>
  <c r="K202" i="1"/>
  <c r="I202" i="1"/>
  <c r="G202" i="1"/>
  <c r="E202" i="1"/>
  <c r="D202" i="1"/>
  <c r="B202" i="1"/>
  <c r="A202" i="1"/>
  <c r="P201" i="1"/>
  <c r="O201" i="1"/>
  <c r="K201" i="1"/>
  <c r="I201" i="1"/>
  <c r="G201" i="1"/>
  <c r="E201" i="1"/>
  <c r="D201" i="1"/>
  <c r="B201" i="1"/>
  <c r="A201" i="1"/>
  <c r="P200" i="1"/>
  <c r="O200" i="1"/>
  <c r="K200" i="1"/>
  <c r="I200" i="1"/>
  <c r="G200" i="1"/>
  <c r="E200" i="1"/>
  <c r="D200" i="1"/>
  <c r="B200" i="1"/>
  <c r="A200" i="1"/>
  <c r="P199" i="1"/>
  <c r="O199" i="1"/>
  <c r="K199" i="1"/>
  <c r="I199" i="1"/>
  <c r="G199" i="1"/>
  <c r="E199" i="1"/>
  <c r="D199" i="1"/>
  <c r="B199" i="1"/>
  <c r="A199" i="1"/>
  <c r="P198" i="1"/>
  <c r="O198" i="1"/>
  <c r="K198" i="1"/>
  <c r="I198" i="1"/>
  <c r="G198" i="1"/>
  <c r="E198" i="1"/>
  <c r="D198" i="1"/>
  <c r="B198" i="1"/>
  <c r="A198" i="1"/>
  <c r="P197" i="1"/>
  <c r="O197" i="1"/>
  <c r="N197" i="1"/>
  <c r="K197" i="1"/>
  <c r="J197" i="1"/>
  <c r="I197" i="1"/>
  <c r="H197" i="1"/>
  <c r="G197" i="1"/>
  <c r="F197" i="1"/>
  <c r="E197" i="1"/>
  <c r="D197" i="1"/>
  <c r="C197" i="1"/>
  <c r="B197" i="1"/>
  <c r="A197" i="1"/>
  <c r="P196" i="1"/>
  <c r="O196" i="1"/>
  <c r="K196" i="1"/>
  <c r="I196" i="1"/>
  <c r="G196" i="1"/>
  <c r="E196" i="1"/>
  <c r="D196" i="1"/>
  <c r="B196" i="1"/>
  <c r="A196" i="1"/>
  <c r="P195" i="1"/>
  <c r="O195" i="1"/>
  <c r="K195" i="1"/>
  <c r="I195" i="1"/>
  <c r="G195" i="1"/>
  <c r="E195" i="1"/>
  <c r="D195" i="1"/>
  <c r="B195" i="1"/>
  <c r="A195" i="1"/>
  <c r="P194" i="1"/>
  <c r="O194" i="1"/>
  <c r="K194" i="1"/>
  <c r="I194" i="1"/>
  <c r="G194" i="1"/>
  <c r="E194" i="1"/>
  <c r="D194" i="1"/>
  <c r="B194" i="1"/>
  <c r="A194" i="1"/>
  <c r="P193" i="1"/>
  <c r="O193" i="1"/>
  <c r="K193" i="1"/>
  <c r="I193" i="1"/>
  <c r="G193" i="1"/>
  <c r="E193" i="1"/>
  <c r="D193" i="1"/>
  <c r="B193" i="1"/>
  <c r="A193" i="1"/>
  <c r="P192" i="1"/>
  <c r="O192" i="1"/>
  <c r="K192" i="1"/>
  <c r="I192" i="1"/>
  <c r="G192" i="1"/>
  <c r="E192" i="1"/>
  <c r="D192" i="1"/>
  <c r="B192" i="1"/>
  <c r="A192" i="1"/>
  <c r="P191" i="1"/>
  <c r="O191" i="1"/>
  <c r="K191" i="1"/>
  <c r="I191" i="1"/>
  <c r="G191" i="1"/>
  <c r="E191" i="1"/>
  <c r="D191" i="1"/>
  <c r="B191" i="1"/>
  <c r="A191" i="1"/>
  <c r="P190" i="1"/>
  <c r="O190" i="1"/>
  <c r="K190" i="1"/>
  <c r="I190" i="1"/>
  <c r="G190" i="1"/>
  <c r="E190" i="1"/>
  <c r="D190" i="1"/>
  <c r="B190" i="1"/>
  <c r="A190" i="1"/>
  <c r="P189" i="1"/>
  <c r="O189" i="1"/>
  <c r="K189" i="1"/>
  <c r="I189" i="1"/>
  <c r="G189" i="1"/>
  <c r="E189" i="1"/>
  <c r="D189" i="1"/>
  <c r="B189" i="1"/>
  <c r="A189" i="1"/>
  <c r="P188" i="1"/>
  <c r="O188" i="1"/>
  <c r="K188" i="1"/>
  <c r="I188" i="1"/>
  <c r="G188" i="1"/>
  <c r="E188" i="1"/>
  <c r="D188" i="1"/>
  <c r="B188" i="1"/>
  <c r="A188" i="1"/>
  <c r="P187" i="1"/>
  <c r="O187" i="1"/>
  <c r="K187" i="1"/>
  <c r="I187" i="1"/>
  <c r="G187" i="1"/>
  <c r="E187" i="1"/>
  <c r="D187" i="1"/>
  <c r="B187" i="1"/>
  <c r="A187" i="1"/>
  <c r="P186" i="1"/>
  <c r="O186" i="1"/>
  <c r="K186" i="1"/>
  <c r="I186" i="1"/>
  <c r="G186" i="1"/>
  <c r="E186" i="1"/>
  <c r="D186" i="1"/>
  <c r="B186" i="1"/>
  <c r="A186" i="1"/>
  <c r="P185" i="1"/>
  <c r="O185" i="1"/>
  <c r="K185" i="1"/>
  <c r="I185" i="1"/>
  <c r="G185" i="1"/>
  <c r="E185" i="1"/>
  <c r="D185" i="1"/>
  <c r="B185" i="1"/>
  <c r="A185" i="1"/>
  <c r="P184" i="1"/>
  <c r="O184" i="1"/>
  <c r="K184" i="1"/>
  <c r="I184" i="1"/>
  <c r="G184" i="1"/>
  <c r="E184" i="1"/>
  <c r="D184" i="1"/>
  <c r="B184" i="1"/>
  <c r="A184" i="1"/>
  <c r="P183" i="1"/>
  <c r="O183" i="1"/>
  <c r="K183" i="1"/>
  <c r="I183" i="1"/>
  <c r="G183" i="1"/>
  <c r="E183" i="1"/>
  <c r="D183" i="1"/>
  <c r="B183" i="1"/>
  <c r="A183" i="1"/>
  <c r="P182" i="1"/>
  <c r="O182" i="1"/>
  <c r="K182" i="1"/>
  <c r="I182" i="1"/>
  <c r="G182" i="1"/>
  <c r="E182" i="1"/>
  <c r="D182" i="1"/>
  <c r="B182" i="1"/>
  <c r="A182" i="1"/>
  <c r="P181" i="1"/>
  <c r="O181" i="1"/>
  <c r="K181" i="1"/>
  <c r="I181" i="1"/>
  <c r="G181" i="1"/>
  <c r="E181" i="1"/>
  <c r="D181" i="1"/>
  <c r="B181" i="1"/>
  <c r="A181" i="1"/>
  <c r="P180" i="1"/>
  <c r="O180" i="1"/>
  <c r="K180" i="1"/>
  <c r="I180" i="1"/>
  <c r="G180" i="1"/>
  <c r="E180" i="1"/>
  <c r="D180" i="1"/>
  <c r="B180" i="1"/>
  <c r="A180" i="1"/>
  <c r="P179" i="1"/>
  <c r="O179" i="1"/>
  <c r="K179" i="1"/>
  <c r="I179" i="1"/>
  <c r="G179" i="1"/>
  <c r="E179" i="1"/>
  <c r="D179" i="1"/>
  <c r="B179" i="1"/>
  <c r="A179" i="1"/>
  <c r="P178" i="1"/>
  <c r="O178" i="1"/>
  <c r="K178" i="1"/>
  <c r="I178" i="1"/>
  <c r="G178" i="1"/>
  <c r="E178" i="1"/>
  <c r="D178" i="1"/>
  <c r="B178" i="1"/>
  <c r="A178" i="1"/>
  <c r="P177" i="1"/>
  <c r="O177" i="1"/>
  <c r="K177" i="1"/>
  <c r="I177" i="1"/>
  <c r="G177" i="1"/>
  <c r="E177" i="1"/>
  <c r="D177" i="1"/>
  <c r="B177" i="1"/>
  <c r="A177" i="1"/>
  <c r="P176" i="1"/>
  <c r="O176" i="1"/>
  <c r="K176" i="1"/>
  <c r="I176" i="1"/>
  <c r="G176" i="1"/>
  <c r="E176" i="1"/>
  <c r="D176" i="1"/>
  <c r="B176" i="1"/>
  <c r="A176" i="1"/>
  <c r="P175" i="1"/>
  <c r="O175" i="1"/>
  <c r="K175" i="1"/>
  <c r="I175" i="1"/>
  <c r="G175" i="1"/>
  <c r="E175" i="1"/>
  <c r="D175" i="1"/>
  <c r="B175" i="1"/>
  <c r="A175" i="1"/>
  <c r="P174" i="1"/>
  <c r="O174" i="1"/>
  <c r="K174" i="1"/>
  <c r="I174" i="1"/>
  <c r="G174" i="1"/>
  <c r="E174" i="1"/>
  <c r="D174" i="1"/>
  <c r="B174" i="1"/>
  <c r="A174" i="1"/>
  <c r="P173" i="1"/>
  <c r="O173" i="1"/>
  <c r="N173" i="1"/>
  <c r="K173" i="1"/>
  <c r="J173" i="1"/>
  <c r="I173" i="1"/>
  <c r="H173" i="1"/>
  <c r="G173" i="1"/>
  <c r="F173" i="1"/>
  <c r="E173" i="1"/>
  <c r="D173" i="1"/>
  <c r="C173" i="1"/>
  <c r="B173" i="1"/>
  <c r="A173" i="1"/>
  <c r="P172" i="1"/>
  <c r="O172" i="1"/>
  <c r="K172" i="1"/>
  <c r="I172" i="1"/>
  <c r="G172" i="1"/>
  <c r="E172" i="1"/>
  <c r="D172" i="1"/>
  <c r="B172" i="1"/>
  <c r="A172" i="1"/>
  <c r="P171" i="1"/>
  <c r="O171" i="1"/>
  <c r="K171" i="1"/>
  <c r="I171" i="1"/>
  <c r="G171" i="1"/>
  <c r="E171" i="1"/>
  <c r="D171" i="1"/>
  <c r="B171" i="1"/>
  <c r="A171" i="1"/>
  <c r="P170" i="1"/>
  <c r="O170" i="1"/>
  <c r="K170" i="1"/>
  <c r="I170" i="1"/>
  <c r="G170" i="1"/>
  <c r="E170" i="1"/>
  <c r="D170" i="1"/>
  <c r="B170" i="1"/>
  <c r="A170" i="1"/>
  <c r="P169" i="1"/>
  <c r="O169" i="1"/>
  <c r="K169" i="1"/>
  <c r="I169" i="1"/>
  <c r="G169" i="1"/>
  <c r="E169" i="1"/>
  <c r="D169" i="1"/>
  <c r="B169" i="1"/>
  <c r="A169" i="1"/>
  <c r="P168" i="1"/>
  <c r="O168" i="1"/>
  <c r="K168" i="1"/>
  <c r="I168" i="1"/>
  <c r="G168" i="1"/>
  <c r="E168" i="1"/>
  <c r="D168" i="1"/>
  <c r="B168" i="1"/>
  <c r="A168" i="1"/>
  <c r="P167" i="1"/>
  <c r="O167" i="1"/>
  <c r="K167" i="1"/>
  <c r="I167" i="1"/>
  <c r="G167" i="1"/>
  <c r="E167" i="1"/>
  <c r="D167" i="1"/>
  <c r="B167" i="1"/>
  <c r="A167" i="1"/>
  <c r="P166" i="1"/>
  <c r="O166" i="1"/>
  <c r="K166" i="1"/>
  <c r="I166" i="1"/>
  <c r="G166" i="1"/>
  <c r="E166" i="1"/>
  <c r="D166" i="1"/>
  <c r="B166" i="1"/>
  <c r="A166" i="1"/>
  <c r="P165" i="1"/>
  <c r="O165" i="1"/>
  <c r="K165" i="1"/>
  <c r="I165" i="1"/>
  <c r="G165" i="1"/>
  <c r="E165" i="1"/>
  <c r="D165" i="1"/>
  <c r="B165" i="1"/>
  <c r="A165" i="1"/>
  <c r="P164" i="1"/>
  <c r="O164" i="1"/>
  <c r="K164" i="1"/>
  <c r="I164" i="1"/>
  <c r="G164" i="1"/>
  <c r="E164" i="1"/>
  <c r="D164" i="1"/>
  <c r="B164" i="1"/>
  <c r="A164" i="1"/>
  <c r="P163" i="1"/>
  <c r="O163" i="1"/>
  <c r="K163" i="1"/>
  <c r="I163" i="1"/>
  <c r="G163" i="1"/>
  <c r="E163" i="1"/>
  <c r="D163" i="1"/>
  <c r="B163" i="1"/>
  <c r="A163" i="1"/>
  <c r="P162" i="1"/>
  <c r="O162" i="1"/>
  <c r="K162" i="1"/>
  <c r="I162" i="1"/>
  <c r="G162" i="1"/>
  <c r="E162" i="1"/>
  <c r="D162" i="1"/>
  <c r="B162" i="1"/>
  <c r="A162" i="1"/>
  <c r="P161" i="1"/>
  <c r="O161" i="1"/>
  <c r="K161" i="1"/>
  <c r="I161" i="1"/>
  <c r="G161" i="1"/>
  <c r="E161" i="1"/>
  <c r="D161" i="1"/>
  <c r="B161" i="1"/>
  <c r="A161" i="1"/>
  <c r="P160" i="1"/>
  <c r="O160" i="1"/>
  <c r="K160" i="1"/>
  <c r="I160" i="1"/>
  <c r="G160" i="1"/>
  <c r="E160" i="1"/>
  <c r="D160" i="1"/>
  <c r="B160" i="1"/>
  <c r="A160" i="1"/>
  <c r="P159" i="1"/>
  <c r="O159" i="1"/>
  <c r="K159" i="1"/>
  <c r="I159" i="1"/>
  <c r="G159" i="1"/>
  <c r="E159" i="1"/>
  <c r="D159" i="1"/>
  <c r="B159" i="1"/>
  <c r="A159" i="1"/>
  <c r="P158" i="1"/>
  <c r="O158" i="1"/>
  <c r="K158" i="1"/>
  <c r="I158" i="1"/>
  <c r="G158" i="1"/>
  <c r="E158" i="1"/>
  <c r="D158" i="1"/>
  <c r="B158" i="1"/>
  <c r="A158" i="1"/>
  <c r="P157" i="1"/>
  <c r="O157" i="1"/>
  <c r="K157" i="1"/>
  <c r="I157" i="1"/>
  <c r="G157" i="1"/>
  <c r="E157" i="1"/>
  <c r="D157" i="1"/>
  <c r="B157" i="1"/>
  <c r="A157" i="1"/>
  <c r="P156" i="1"/>
  <c r="O156" i="1"/>
  <c r="K156" i="1"/>
  <c r="I156" i="1"/>
  <c r="G156" i="1"/>
  <c r="E156" i="1"/>
  <c r="D156" i="1"/>
  <c r="B156" i="1"/>
  <c r="A156" i="1"/>
  <c r="P155" i="1"/>
  <c r="O155" i="1"/>
  <c r="K155" i="1"/>
  <c r="I155" i="1"/>
  <c r="G155" i="1"/>
  <c r="E155" i="1"/>
  <c r="D155" i="1"/>
  <c r="B155" i="1"/>
  <c r="A155" i="1"/>
  <c r="P154" i="1"/>
  <c r="O154" i="1"/>
  <c r="K154" i="1"/>
  <c r="I154" i="1"/>
  <c r="G154" i="1"/>
  <c r="E154" i="1"/>
  <c r="D154" i="1"/>
  <c r="B154" i="1"/>
  <c r="A154" i="1"/>
  <c r="P153" i="1"/>
  <c r="O153" i="1"/>
  <c r="K153" i="1"/>
  <c r="I153" i="1"/>
  <c r="G153" i="1"/>
  <c r="E153" i="1"/>
  <c r="D153" i="1"/>
  <c r="B153" i="1"/>
  <c r="A153" i="1"/>
  <c r="P152" i="1"/>
  <c r="O152" i="1"/>
  <c r="K152" i="1"/>
  <c r="I152" i="1"/>
  <c r="G152" i="1"/>
  <c r="E152" i="1"/>
  <c r="D152" i="1"/>
  <c r="B152" i="1"/>
  <c r="A152" i="1"/>
  <c r="P151" i="1"/>
  <c r="O151" i="1"/>
  <c r="K151" i="1"/>
  <c r="I151" i="1"/>
  <c r="G151" i="1"/>
  <c r="E151" i="1"/>
  <c r="D151" i="1"/>
  <c r="B151" i="1"/>
  <c r="A151" i="1"/>
  <c r="P150" i="1"/>
  <c r="O150" i="1"/>
  <c r="K150" i="1"/>
  <c r="I150" i="1"/>
  <c r="G150" i="1"/>
  <c r="E150" i="1"/>
  <c r="D150" i="1"/>
  <c r="B150" i="1"/>
  <c r="A150" i="1"/>
  <c r="P149" i="1"/>
  <c r="O149" i="1"/>
  <c r="N149" i="1"/>
  <c r="K149" i="1"/>
  <c r="J149" i="1"/>
  <c r="I149" i="1"/>
  <c r="H149" i="1"/>
  <c r="G149" i="1"/>
  <c r="F149" i="1"/>
  <c r="E149" i="1"/>
  <c r="D149" i="1"/>
  <c r="C149" i="1"/>
  <c r="B149" i="1"/>
  <c r="A149" i="1"/>
  <c r="P148" i="1"/>
  <c r="O148" i="1"/>
  <c r="K148" i="1"/>
  <c r="I148" i="1"/>
  <c r="G148" i="1"/>
  <c r="E148" i="1"/>
  <c r="D148" i="1"/>
  <c r="B148" i="1"/>
  <c r="A148" i="1"/>
  <c r="P147" i="1"/>
  <c r="O147" i="1"/>
  <c r="K147" i="1"/>
  <c r="I147" i="1"/>
  <c r="G147" i="1"/>
  <c r="E147" i="1"/>
  <c r="D147" i="1"/>
  <c r="B147" i="1"/>
  <c r="A147" i="1"/>
  <c r="P146" i="1"/>
  <c r="O146" i="1"/>
  <c r="K146" i="1"/>
  <c r="I146" i="1"/>
  <c r="G146" i="1"/>
  <c r="E146" i="1"/>
  <c r="D146" i="1"/>
  <c r="B146" i="1"/>
  <c r="A146" i="1"/>
  <c r="P145" i="1"/>
  <c r="O145" i="1"/>
  <c r="K145" i="1"/>
  <c r="I145" i="1"/>
  <c r="G145" i="1"/>
  <c r="E145" i="1"/>
  <c r="D145" i="1"/>
  <c r="B145" i="1"/>
  <c r="A145" i="1"/>
  <c r="P144" i="1"/>
  <c r="O144" i="1"/>
  <c r="K144" i="1"/>
  <c r="I144" i="1"/>
  <c r="G144" i="1"/>
  <c r="E144" i="1"/>
  <c r="D144" i="1"/>
  <c r="B144" i="1"/>
  <c r="A144" i="1"/>
  <c r="P143" i="1"/>
  <c r="O143" i="1"/>
  <c r="K143" i="1"/>
  <c r="I143" i="1"/>
  <c r="G143" i="1"/>
  <c r="E143" i="1"/>
  <c r="D143" i="1"/>
  <c r="B143" i="1"/>
  <c r="A143" i="1"/>
  <c r="P142" i="1"/>
  <c r="O142" i="1"/>
  <c r="K142" i="1"/>
  <c r="I142" i="1"/>
  <c r="G142" i="1"/>
  <c r="E142" i="1"/>
  <c r="D142" i="1"/>
  <c r="B142" i="1"/>
  <c r="A142" i="1"/>
  <c r="P141" i="1"/>
  <c r="O141" i="1"/>
  <c r="K141" i="1"/>
  <c r="I141" i="1"/>
  <c r="G141" i="1"/>
  <c r="E141" i="1"/>
  <c r="D141" i="1"/>
  <c r="B141" i="1"/>
  <c r="A141" i="1"/>
  <c r="P140" i="1"/>
  <c r="O140" i="1"/>
  <c r="K140" i="1"/>
  <c r="I140" i="1"/>
  <c r="G140" i="1"/>
  <c r="E140" i="1"/>
  <c r="D140" i="1"/>
  <c r="B140" i="1"/>
  <c r="A140" i="1"/>
  <c r="P139" i="1"/>
  <c r="O139" i="1"/>
  <c r="K139" i="1"/>
  <c r="I139" i="1"/>
  <c r="G139" i="1"/>
  <c r="E139" i="1"/>
  <c r="D139" i="1"/>
  <c r="B139" i="1"/>
  <c r="A139" i="1"/>
  <c r="P138" i="1"/>
  <c r="O138" i="1"/>
  <c r="K138" i="1"/>
  <c r="I138" i="1"/>
  <c r="G138" i="1"/>
  <c r="E138" i="1"/>
  <c r="D138" i="1"/>
  <c r="B138" i="1"/>
  <c r="A138" i="1"/>
  <c r="P137" i="1"/>
  <c r="O137" i="1"/>
  <c r="K137" i="1"/>
  <c r="I137" i="1"/>
  <c r="G137" i="1"/>
  <c r="E137" i="1"/>
  <c r="D137" i="1"/>
  <c r="B137" i="1"/>
  <c r="A137" i="1"/>
  <c r="P136" i="1"/>
  <c r="O136" i="1"/>
  <c r="K136" i="1"/>
  <c r="I136" i="1"/>
  <c r="G136" i="1"/>
  <c r="E136" i="1"/>
  <c r="D136" i="1"/>
  <c r="B136" i="1"/>
  <c r="A136" i="1"/>
  <c r="P135" i="1"/>
  <c r="O135" i="1"/>
  <c r="K135" i="1"/>
  <c r="I135" i="1"/>
  <c r="G135" i="1"/>
  <c r="E135" i="1"/>
  <c r="D135" i="1"/>
  <c r="B135" i="1"/>
  <c r="A135" i="1"/>
  <c r="P134" i="1"/>
  <c r="O134" i="1"/>
  <c r="K134" i="1"/>
  <c r="I134" i="1"/>
  <c r="G134" i="1"/>
  <c r="E134" i="1"/>
  <c r="D134" i="1"/>
  <c r="B134" i="1"/>
  <c r="A134" i="1"/>
  <c r="P133" i="1"/>
  <c r="O133" i="1"/>
  <c r="K133" i="1"/>
  <c r="I133" i="1"/>
  <c r="G133" i="1"/>
  <c r="E133" i="1"/>
  <c r="D133" i="1"/>
  <c r="B133" i="1"/>
  <c r="A133" i="1"/>
  <c r="P132" i="1"/>
  <c r="O132" i="1"/>
  <c r="K132" i="1"/>
  <c r="I132" i="1"/>
  <c r="G132" i="1"/>
  <c r="E132" i="1"/>
  <c r="D132" i="1"/>
  <c r="B132" i="1"/>
  <c r="A132" i="1"/>
  <c r="P131" i="1"/>
  <c r="O131" i="1"/>
  <c r="K131" i="1"/>
  <c r="I131" i="1"/>
  <c r="G131" i="1"/>
  <c r="E131" i="1"/>
  <c r="D131" i="1"/>
  <c r="B131" i="1"/>
  <c r="A131" i="1"/>
  <c r="P130" i="1"/>
  <c r="O130" i="1"/>
  <c r="K130" i="1"/>
  <c r="I130" i="1"/>
  <c r="G130" i="1"/>
  <c r="E130" i="1"/>
  <c r="D130" i="1"/>
  <c r="B130" i="1"/>
  <c r="A130" i="1"/>
  <c r="P129" i="1"/>
  <c r="O129" i="1"/>
  <c r="K129" i="1"/>
  <c r="I129" i="1"/>
  <c r="G129" i="1"/>
  <c r="E129" i="1"/>
  <c r="D129" i="1"/>
  <c r="B129" i="1"/>
  <c r="A129" i="1"/>
  <c r="P128" i="1"/>
  <c r="O128" i="1"/>
  <c r="K128" i="1"/>
  <c r="I128" i="1"/>
  <c r="G128" i="1"/>
  <c r="E128" i="1"/>
  <c r="D128" i="1"/>
  <c r="B128" i="1"/>
  <c r="A128" i="1"/>
  <c r="P127" i="1"/>
  <c r="O127" i="1"/>
  <c r="K127" i="1"/>
  <c r="I127" i="1"/>
  <c r="G127" i="1"/>
  <c r="E127" i="1"/>
  <c r="D127" i="1"/>
  <c r="B127" i="1"/>
  <c r="A127" i="1"/>
  <c r="P126" i="1"/>
  <c r="O126" i="1"/>
  <c r="K126" i="1"/>
  <c r="I126" i="1"/>
  <c r="G126" i="1"/>
  <c r="E126" i="1"/>
  <c r="D126" i="1"/>
  <c r="B126" i="1"/>
  <c r="A126" i="1"/>
  <c r="P125" i="1"/>
  <c r="O125" i="1"/>
  <c r="N125" i="1"/>
  <c r="K125" i="1"/>
  <c r="J125" i="1"/>
  <c r="I125" i="1"/>
  <c r="H125" i="1"/>
  <c r="G125" i="1"/>
  <c r="F125" i="1"/>
  <c r="E125" i="1"/>
  <c r="D125" i="1"/>
  <c r="C125" i="1"/>
  <c r="B125" i="1"/>
  <c r="A125" i="1"/>
  <c r="P124" i="1"/>
  <c r="O124" i="1"/>
  <c r="K124" i="1"/>
  <c r="I124" i="1"/>
  <c r="G124" i="1"/>
  <c r="E124" i="1"/>
  <c r="D124" i="1"/>
  <c r="B124" i="1"/>
  <c r="A124" i="1"/>
  <c r="P123" i="1"/>
  <c r="O123" i="1"/>
  <c r="K123" i="1"/>
  <c r="I123" i="1"/>
  <c r="G123" i="1"/>
  <c r="E123" i="1"/>
  <c r="D123" i="1"/>
  <c r="B123" i="1"/>
  <c r="A123" i="1"/>
  <c r="P122" i="1"/>
  <c r="O122" i="1"/>
  <c r="K122" i="1"/>
  <c r="I122" i="1"/>
  <c r="G122" i="1"/>
  <c r="E122" i="1"/>
  <c r="D122" i="1"/>
  <c r="B122" i="1"/>
  <c r="A122" i="1"/>
  <c r="P121" i="1"/>
  <c r="O121" i="1"/>
  <c r="K121" i="1"/>
  <c r="I121" i="1"/>
  <c r="G121" i="1"/>
  <c r="E121" i="1"/>
  <c r="D121" i="1"/>
  <c r="B121" i="1"/>
  <c r="A121" i="1"/>
  <c r="P120" i="1"/>
  <c r="O120" i="1"/>
  <c r="K120" i="1"/>
  <c r="I120" i="1"/>
  <c r="G120" i="1"/>
  <c r="E120" i="1"/>
  <c r="D120" i="1"/>
  <c r="B120" i="1"/>
  <c r="A120" i="1"/>
  <c r="P119" i="1"/>
  <c r="O119" i="1"/>
  <c r="K119" i="1"/>
  <c r="I119" i="1"/>
  <c r="G119" i="1"/>
  <c r="E119" i="1"/>
  <c r="D119" i="1"/>
  <c r="B119" i="1"/>
  <c r="A119" i="1"/>
  <c r="P118" i="1"/>
  <c r="O118" i="1"/>
  <c r="K118" i="1"/>
  <c r="I118" i="1"/>
  <c r="G118" i="1"/>
  <c r="E118" i="1"/>
  <c r="D118" i="1"/>
  <c r="B118" i="1"/>
  <c r="A118" i="1"/>
  <c r="P117" i="1"/>
  <c r="O117" i="1"/>
  <c r="K117" i="1"/>
  <c r="I117" i="1"/>
  <c r="G117" i="1"/>
  <c r="E117" i="1"/>
  <c r="D117" i="1"/>
  <c r="B117" i="1"/>
  <c r="A117" i="1"/>
  <c r="P116" i="1"/>
  <c r="O116" i="1"/>
  <c r="K116" i="1"/>
  <c r="I116" i="1"/>
  <c r="G116" i="1"/>
  <c r="E116" i="1"/>
  <c r="D116" i="1"/>
  <c r="B116" i="1"/>
  <c r="A116" i="1"/>
  <c r="P115" i="1"/>
  <c r="O115" i="1"/>
  <c r="K115" i="1"/>
  <c r="I115" i="1"/>
  <c r="G115" i="1"/>
  <c r="E115" i="1"/>
  <c r="D115" i="1"/>
  <c r="B115" i="1"/>
  <c r="A115" i="1"/>
  <c r="P114" i="1"/>
  <c r="O114" i="1"/>
  <c r="K114" i="1"/>
  <c r="I114" i="1"/>
  <c r="G114" i="1"/>
  <c r="E114" i="1"/>
  <c r="D114" i="1"/>
  <c r="B114" i="1"/>
  <c r="A114" i="1"/>
  <c r="P113" i="1"/>
  <c r="O113" i="1"/>
  <c r="K113" i="1"/>
  <c r="I113" i="1"/>
  <c r="G113" i="1"/>
  <c r="E113" i="1"/>
  <c r="D113" i="1"/>
  <c r="B113" i="1"/>
  <c r="A113" i="1"/>
  <c r="P112" i="1"/>
  <c r="O112" i="1"/>
  <c r="K112" i="1"/>
  <c r="I112" i="1"/>
  <c r="G112" i="1"/>
  <c r="E112" i="1"/>
  <c r="D112" i="1"/>
  <c r="B112" i="1"/>
  <c r="A112" i="1"/>
  <c r="P111" i="1"/>
  <c r="O111" i="1"/>
  <c r="K111" i="1"/>
  <c r="I111" i="1"/>
  <c r="G111" i="1"/>
  <c r="E111" i="1"/>
  <c r="D111" i="1"/>
  <c r="B111" i="1"/>
  <c r="A111" i="1"/>
  <c r="P110" i="1"/>
  <c r="O110" i="1"/>
  <c r="K110" i="1"/>
  <c r="I110" i="1"/>
  <c r="G110" i="1"/>
  <c r="E110" i="1"/>
  <c r="D110" i="1"/>
  <c r="B110" i="1"/>
  <c r="A110" i="1"/>
  <c r="P109" i="1"/>
  <c r="O109" i="1"/>
  <c r="K109" i="1"/>
  <c r="I109" i="1"/>
  <c r="G109" i="1"/>
  <c r="E109" i="1"/>
  <c r="D109" i="1"/>
  <c r="B109" i="1"/>
  <c r="A109" i="1"/>
  <c r="P108" i="1"/>
  <c r="O108" i="1"/>
  <c r="K108" i="1"/>
  <c r="I108" i="1"/>
  <c r="G108" i="1"/>
  <c r="E108" i="1"/>
  <c r="D108" i="1"/>
  <c r="B108" i="1"/>
  <c r="A108" i="1"/>
  <c r="P107" i="1"/>
  <c r="O107" i="1"/>
  <c r="K107" i="1"/>
  <c r="I107" i="1"/>
  <c r="G107" i="1"/>
  <c r="E107" i="1"/>
  <c r="D107" i="1"/>
  <c r="B107" i="1"/>
  <c r="A107" i="1"/>
  <c r="P106" i="1"/>
  <c r="O106" i="1"/>
  <c r="K106" i="1"/>
  <c r="I106" i="1"/>
  <c r="G106" i="1"/>
  <c r="E106" i="1"/>
  <c r="D106" i="1"/>
  <c r="B106" i="1"/>
  <c r="A106" i="1"/>
  <c r="P105" i="1"/>
  <c r="O105" i="1"/>
  <c r="K105" i="1"/>
  <c r="I105" i="1"/>
  <c r="G105" i="1"/>
  <c r="E105" i="1"/>
  <c r="D105" i="1"/>
  <c r="B105" i="1"/>
  <c r="A105" i="1"/>
  <c r="P104" i="1"/>
  <c r="O104" i="1"/>
  <c r="K104" i="1"/>
  <c r="I104" i="1"/>
  <c r="G104" i="1"/>
  <c r="E104" i="1"/>
  <c r="D104" i="1"/>
  <c r="B104" i="1"/>
  <c r="A104" i="1"/>
  <c r="P103" i="1"/>
  <c r="O103" i="1"/>
  <c r="K103" i="1"/>
  <c r="I103" i="1"/>
  <c r="G103" i="1"/>
  <c r="E103" i="1"/>
  <c r="D103" i="1"/>
  <c r="B103" i="1"/>
  <c r="A103" i="1"/>
  <c r="P102" i="1"/>
  <c r="O102" i="1"/>
  <c r="K102" i="1"/>
  <c r="I102" i="1"/>
  <c r="G102" i="1"/>
  <c r="E102" i="1"/>
  <c r="D102" i="1"/>
  <c r="B102" i="1"/>
  <c r="A102" i="1"/>
  <c r="P101" i="1"/>
  <c r="O101" i="1"/>
  <c r="N101" i="1"/>
  <c r="K101" i="1"/>
  <c r="J101" i="1"/>
  <c r="I101" i="1"/>
  <c r="H101" i="1"/>
  <c r="G101" i="1"/>
  <c r="F101" i="1"/>
  <c r="E101" i="1"/>
  <c r="D101" i="1"/>
  <c r="C101" i="1"/>
  <c r="B101" i="1"/>
  <c r="A101" i="1"/>
  <c r="P100" i="1"/>
  <c r="O100" i="1"/>
  <c r="K100" i="1"/>
  <c r="I100" i="1"/>
  <c r="G100" i="1"/>
  <c r="E100" i="1"/>
  <c r="D100" i="1"/>
  <c r="B100" i="1"/>
  <c r="A100" i="1"/>
  <c r="P99" i="1"/>
  <c r="O99" i="1"/>
  <c r="K99" i="1"/>
  <c r="I99" i="1"/>
  <c r="G99" i="1"/>
  <c r="E99" i="1"/>
  <c r="D99" i="1"/>
  <c r="B99" i="1"/>
  <c r="A99" i="1"/>
  <c r="P98" i="1"/>
  <c r="O98" i="1"/>
  <c r="K98" i="1"/>
  <c r="I98" i="1"/>
  <c r="G98" i="1"/>
  <c r="E98" i="1"/>
  <c r="D98" i="1"/>
  <c r="B98" i="1"/>
  <c r="A98" i="1"/>
  <c r="P97" i="1"/>
  <c r="O97" i="1"/>
  <c r="K97" i="1"/>
  <c r="I97" i="1"/>
  <c r="G97" i="1"/>
  <c r="E97" i="1"/>
  <c r="D97" i="1"/>
  <c r="B97" i="1"/>
  <c r="A97" i="1"/>
  <c r="P96" i="1"/>
  <c r="O96" i="1"/>
  <c r="K96" i="1"/>
  <c r="I96" i="1"/>
  <c r="G96" i="1"/>
  <c r="E96" i="1"/>
  <c r="D96" i="1"/>
  <c r="B96" i="1"/>
  <c r="A96" i="1"/>
  <c r="P95" i="1"/>
  <c r="O95" i="1"/>
  <c r="K95" i="1"/>
  <c r="I95" i="1"/>
  <c r="G95" i="1"/>
  <c r="E95" i="1"/>
  <c r="D95" i="1"/>
  <c r="B95" i="1"/>
  <c r="A95" i="1"/>
  <c r="P94" i="1"/>
  <c r="O94" i="1"/>
  <c r="K94" i="1"/>
  <c r="I94" i="1"/>
  <c r="G94" i="1"/>
  <c r="E94" i="1"/>
  <c r="D94" i="1"/>
  <c r="B94" i="1"/>
  <c r="A94" i="1"/>
  <c r="P93" i="1"/>
  <c r="O93" i="1"/>
  <c r="K93" i="1"/>
  <c r="I93" i="1"/>
  <c r="G93" i="1"/>
  <c r="E93" i="1"/>
  <c r="D93" i="1"/>
  <c r="B93" i="1"/>
  <c r="A93" i="1"/>
  <c r="P92" i="1"/>
  <c r="O92" i="1"/>
  <c r="K92" i="1"/>
  <c r="I92" i="1"/>
  <c r="G92" i="1"/>
  <c r="E92" i="1"/>
  <c r="D92" i="1"/>
  <c r="B92" i="1"/>
  <c r="A92" i="1"/>
  <c r="P91" i="1"/>
  <c r="O91" i="1"/>
  <c r="K91" i="1"/>
  <c r="I91" i="1"/>
  <c r="G91" i="1"/>
  <c r="E91" i="1"/>
  <c r="D91" i="1"/>
  <c r="B91" i="1"/>
  <c r="A91" i="1"/>
  <c r="P90" i="1"/>
  <c r="O90" i="1"/>
  <c r="K90" i="1"/>
  <c r="I90" i="1"/>
  <c r="G90" i="1"/>
  <c r="E90" i="1"/>
  <c r="D90" i="1"/>
  <c r="B90" i="1"/>
  <c r="A90" i="1"/>
  <c r="P89" i="1"/>
  <c r="O89" i="1"/>
  <c r="K89" i="1"/>
  <c r="I89" i="1"/>
  <c r="G89" i="1"/>
  <c r="E89" i="1"/>
  <c r="D89" i="1"/>
  <c r="B89" i="1"/>
  <c r="A89" i="1"/>
  <c r="P88" i="1"/>
  <c r="O88" i="1"/>
  <c r="K88" i="1"/>
  <c r="I88" i="1"/>
  <c r="G88" i="1"/>
  <c r="E88" i="1"/>
  <c r="D88" i="1"/>
  <c r="B88" i="1"/>
  <c r="A88" i="1"/>
  <c r="P87" i="1"/>
  <c r="O87" i="1"/>
  <c r="K87" i="1"/>
  <c r="I87" i="1"/>
  <c r="G87" i="1"/>
  <c r="E87" i="1"/>
  <c r="D87" i="1"/>
  <c r="B87" i="1"/>
  <c r="A87" i="1"/>
  <c r="P86" i="1"/>
  <c r="O86" i="1"/>
  <c r="K86" i="1"/>
  <c r="I86" i="1"/>
  <c r="G86" i="1"/>
  <c r="E86" i="1"/>
  <c r="D86" i="1"/>
  <c r="B86" i="1"/>
  <c r="A86" i="1"/>
  <c r="P85" i="1"/>
  <c r="O85" i="1"/>
  <c r="K85" i="1"/>
  <c r="I85" i="1"/>
  <c r="G85" i="1"/>
  <c r="E85" i="1"/>
  <c r="D85" i="1"/>
  <c r="B85" i="1"/>
  <c r="A85" i="1"/>
  <c r="P84" i="1"/>
  <c r="O84" i="1"/>
  <c r="K84" i="1"/>
  <c r="I84" i="1"/>
  <c r="G84" i="1"/>
  <c r="E84" i="1"/>
  <c r="D84" i="1"/>
  <c r="B84" i="1"/>
  <c r="A84" i="1"/>
  <c r="P83" i="1"/>
  <c r="O83" i="1"/>
  <c r="K83" i="1"/>
  <c r="I83" i="1"/>
  <c r="G83" i="1"/>
  <c r="E83" i="1"/>
  <c r="D83" i="1"/>
  <c r="B83" i="1"/>
  <c r="A83" i="1"/>
  <c r="P82" i="1"/>
  <c r="O82" i="1"/>
  <c r="K82" i="1"/>
  <c r="I82" i="1"/>
  <c r="G82" i="1"/>
  <c r="E82" i="1"/>
  <c r="D82" i="1"/>
  <c r="B82" i="1"/>
  <c r="A82" i="1"/>
  <c r="P81" i="1"/>
  <c r="O81" i="1"/>
  <c r="K81" i="1"/>
  <c r="I81" i="1"/>
  <c r="G81" i="1"/>
  <c r="E81" i="1"/>
  <c r="D81" i="1"/>
  <c r="B81" i="1"/>
  <c r="A81" i="1"/>
  <c r="P80" i="1"/>
  <c r="O80" i="1"/>
  <c r="K80" i="1"/>
  <c r="I80" i="1"/>
  <c r="G80" i="1"/>
  <c r="E80" i="1"/>
  <c r="D80" i="1"/>
  <c r="B80" i="1"/>
  <c r="A80" i="1"/>
  <c r="P79" i="1"/>
  <c r="O79" i="1"/>
  <c r="K79" i="1"/>
  <c r="I79" i="1"/>
  <c r="G79" i="1"/>
  <c r="E79" i="1"/>
  <c r="D79" i="1"/>
  <c r="B79" i="1"/>
  <c r="A79" i="1"/>
  <c r="P78" i="1"/>
  <c r="O78" i="1"/>
  <c r="K78" i="1"/>
  <c r="I78" i="1"/>
  <c r="G78" i="1"/>
  <c r="E78" i="1"/>
  <c r="D78" i="1"/>
  <c r="B78" i="1"/>
  <c r="A78" i="1"/>
  <c r="P77" i="1"/>
  <c r="O77" i="1"/>
  <c r="N77" i="1"/>
  <c r="K77" i="1"/>
  <c r="J77" i="1"/>
  <c r="I77" i="1"/>
  <c r="H77" i="1"/>
  <c r="G77" i="1"/>
  <c r="F77" i="1"/>
  <c r="E77" i="1"/>
  <c r="D77" i="1"/>
  <c r="C77" i="1"/>
  <c r="B77" i="1"/>
  <c r="A77" i="1"/>
  <c r="P76" i="1"/>
  <c r="O76" i="1"/>
  <c r="K76" i="1"/>
  <c r="I76" i="1"/>
  <c r="G76" i="1"/>
  <c r="E76" i="1"/>
  <c r="D76" i="1"/>
  <c r="B76" i="1"/>
  <c r="A76" i="1"/>
  <c r="P75" i="1"/>
  <c r="O75" i="1"/>
  <c r="K75" i="1"/>
  <c r="I75" i="1"/>
  <c r="G75" i="1"/>
  <c r="E75" i="1"/>
  <c r="D75" i="1"/>
  <c r="B75" i="1"/>
  <c r="A75" i="1"/>
  <c r="P74" i="1"/>
  <c r="O74" i="1"/>
  <c r="K74" i="1"/>
  <c r="I74" i="1"/>
  <c r="G74" i="1"/>
  <c r="E74" i="1"/>
  <c r="D74" i="1"/>
  <c r="B74" i="1"/>
  <c r="A74" i="1"/>
  <c r="P73" i="1"/>
  <c r="O73" i="1"/>
  <c r="K73" i="1"/>
  <c r="I73" i="1"/>
  <c r="G73" i="1"/>
  <c r="E73" i="1"/>
  <c r="D73" i="1"/>
  <c r="B73" i="1"/>
  <c r="A73" i="1"/>
  <c r="P72" i="1"/>
  <c r="O72" i="1"/>
  <c r="K72" i="1"/>
  <c r="I72" i="1"/>
  <c r="G72" i="1"/>
  <c r="E72" i="1"/>
  <c r="D72" i="1"/>
  <c r="B72" i="1"/>
  <c r="A72" i="1"/>
  <c r="P71" i="1"/>
  <c r="O71" i="1"/>
  <c r="K71" i="1"/>
  <c r="I71" i="1"/>
  <c r="G71" i="1"/>
  <c r="E71" i="1"/>
  <c r="D71" i="1"/>
  <c r="B71" i="1"/>
  <c r="A71" i="1"/>
  <c r="P70" i="1"/>
  <c r="O70" i="1"/>
  <c r="K70" i="1"/>
  <c r="I70" i="1"/>
  <c r="G70" i="1"/>
  <c r="E70" i="1"/>
  <c r="D70" i="1"/>
  <c r="B70" i="1"/>
  <c r="A70" i="1"/>
  <c r="P69" i="1"/>
  <c r="O69" i="1"/>
  <c r="K69" i="1"/>
  <c r="I69" i="1"/>
  <c r="G69" i="1"/>
  <c r="E69" i="1"/>
  <c r="D69" i="1"/>
  <c r="B69" i="1"/>
  <c r="A69" i="1"/>
  <c r="P68" i="1"/>
  <c r="O68" i="1"/>
  <c r="K68" i="1"/>
  <c r="I68" i="1"/>
  <c r="G68" i="1"/>
  <c r="E68" i="1"/>
  <c r="D68" i="1"/>
  <c r="B68" i="1"/>
  <c r="A68" i="1"/>
  <c r="P67" i="1"/>
  <c r="O67" i="1"/>
  <c r="K67" i="1"/>
  <c r="I67" i="1"/>
  <c r="G67" i="1"/>
  <c r="E67" i="1"/>
  <c r="D67" i="1"/>
  <c r="B67" i="1"/>
  <c r="A67" i="1"/>
  <c r="P66" i="1"/>
  <c r="O66" i="1"/>
  <c r="K66" i="1"/>
  <c r="I66" i="1"/>
  <c r="G66" i="1"/>
  <c r="E66" i="1"/>
  <c r="D66" i="1"/>
  <c r="B66" i="1"/>
  <c r="A66" i="1"/>
  <c r="P65" i="1"/>
  <c r="O65" i="1"/>
  <c r="K65" i="1"/>
  <c r="I65" i="1"/>
  <c r="G65" i="1"/>
  <c r="E65" i="1"/>
  <c r="D65" i="1"/>
  <c r="B65" i="1"/>
  <c r="A65" i="1"/>
  <c r="P64" i="1"/>
  <c r="O64" i="1"/>
  <c r="K64" i="1"/>
  <c r="I64" i="1"/>
  <c r="G64" i="1"/>
  <c r="E64" i="1"/>
  <c r="D64" i="1"/>
  <c r="B64" i="1"/>
  <c r="A64" i="1"/>
  <c r="P63" i="1"/>
  <c r="O63" i="1"/>
  <c r="K63" i="1"/>
  <c r="I63" i="1"/>
  <c r="G63" i="1"/>
  <c r="E63" i="1"/>
  <c r="D63" i="1"/>
  <c r="B63" i="1"/>
  <c r="A63" i="1"/>
  <c r="P62" i="1"/>
  <c r="O62" i="1"/>
  <c r="K62" i="1"/>
  <c r="I62" i="1"/>
  <c r="G62" i="1"/>
  <c r="E62" i="1"/>
  <c r="D62" i="1"/>
  <c r="B62" i="1"/>
  <c r="A62" i="1"/>
  <c r="P61" i="1"/>
  <c r="O61" i="1"/>
  <c r="K61" i="1"/>
  <c r="I61" i="1"/>
  <c r="G61" i="1"/>
  <c r="E61" i="1"/>
  <c r="D61" i="1"/>
  <c r="B61" i="1"/>
  <c r="A61" i="1"/>
  <c r="P60" i="1"/>
  <c r="O60" i="1"/>
  <c r="K60" i="1"/>
  <c r="I60" i="1"/>
  <c r="G60" i="1"/>
  <c r="E60" i="1"/>
  <c r="D60" i="1"/>
  <c r="B60" i="1"/>
  <c r="A60" i="1"/>
  <c r="P59" i="1"/>
  <c r="O59" i="1"/>
  <c r="K59" i="1"/>
  <c r="I59" i="1"/>
  <c r="G59" i="1"/>
  <c r="E59" i="1"/>
  <c r="D59" i="1"/>
  <c r="B59" i="1"/>
  <c r="A59" i="1"/>
  <c r="P58" i="1"/>
  <c r="O58" i="1"/>
  <c r="K58" i="1"/>
  <c r="I58" i="1"/>
  <c r="G58" i="1"/>
  <c r="E58" i="1"/>
  <c r="D58" i="1"/>
  <c r="B58" i="1"/>
  <c r="A58" i="1"/>
  <c r="P57" i="1"/>
  <c r="O57" i="1"/>
  <c r="K57" i="1"/>
  <c r="I57" i="1"/>
  <c r="G57" i="1"/>
  <c r="E57" i="1"/>
  <c r="D57" i="1"/>
  <c r="B57" i="1"/>
  <c r="A57" i="1"/>
  <c r="P56" i="1"/>
  <c r="O56" i="1"/>
  <c r="K56" i="1"/>
  <c r="I56" i="1"/>
  <c r="G56" i="1"/>
  <c r="E56" i="1"/>
  <c r="D56" i="1"/>
  <c r="B56" i="1"/>
  <c r="A56" i="1"/>
  <c r="P55" i="1"/>
  <c r="O55" i="1"/>
  <c r="K55" i="1"/>
  <c r="I55" i="1"/>
  <c r="G55" i="1"/>
  <c r="E55" i="1"/>
  <c r="D55" i="1"/>
  <c r="B55" i="1"/>
  <c r="A55" i="1"/>
  <c r="P54" i="1"/>
  <c r="O54" i="1"/>
  <c r="K54" i="1"/>
  <c r="I54" i="1"/>
  <c r="G54" i="1"/>
  <c r="E54" i="1"/>
  <c r="D54" i="1"/>
  <c r="B54" i="1"/>
  <c r="A54" i="1"/>
  <c r="P53" i="1"/>
  <c r="O53" i="1"/>
  <c r="N53" i="1"/>
  <c r="K53" i="1"/>
  <c r="J53" i="1"/>
  <c r="I53" i="1"/>
  <c r="H53" i="1"/>
  <c r="G53" i="1"/>
  <c r="F53" i="1"/>
  <c r="E53" i="1"/>
  <c r="D53" i="1"/>
  <c r="C53" i="1"/>
  <c r="B53" i="1"/>
  <c r="A53" i="1"/>
  <c r="P52" i="1"/>
  <c r="O52" i="1"/>
  <c r="K52" i="1"/>
  <c r="I52" i="1"/>
  <c r="G52" i="1"/>
  <c r="E52" i="1"/>
  <c r="D52" i="1"/>
  <c r="B52" i="1"/>
  <c r="A52" i="1"/>
  <c r="P51" i="1"/>
  <c r="O51" i="1"/>
  <c r="K51" i="1"/>
  <c r="I51" i="1"/>
  <c r="G51" i="1"/>
  <c r="E51" i="1"/>
  <c r="D51" i="1"/>
  <c r="B51" i="1"/>
  <c r="A51" i="1"/>
  <c r="P50" i="1"/>
  <c r="O50" i="1"/>
  <c r="K50" i="1"/>
  <c r="I50" i="1"/>
  <c r="G50" i="1"/>
  <c r="E50" i="1"/>
  <c r="D50" i="1"/>
  <c r="B50" i="1"/>
  <c r="A50" i="1"/>
  <c r="P49" i="1"/>
  <c r="O49" i="1"/>
  <c r="K49" i="1"/>
  <c r="I49" i="1"/>
  <c r="G49" i="1"/>
  <c r="E49" i="1"/>
  <c r="D49" i="1"/>
  <c r="B49" i="1"/>
  <c r="A49" i="1"/>
  <c r="P48" i="1"/>
  <c r="O48" i="1"/>
  <c r="K48" i="1"/>
  <c r="I48" i="1"/>
  <c r="G48" i="1"/>
  <c r="E48" i="1"/>
  <c r="D48" i="1"/>
  <c r="B48" i="1"/>
  <c r="A48" i="1"/>
  <c r="P47" i="1"/>
  <c r="O47" i="1"/>
  <c r="K47" i="1"/>
  <c r="I47" i="1"/>
  <c r="G47" i="1"/>
  <c r="E47" i="1"/>
  <c r="D47" i="1"/>
  <c r="B47" i="1"/>
  <c r="A47" i="1"/>
  <c r="P46" i="1"/>
  <c r="O46" i="1"/>
  <c r="K46" i="1"/>
  <c r="I46" i="1"/>
  <c r="G46" i="1"/>
  <c r="E46" i="1"/>
  <c r="D46" i="1"/>
  <c r="B46" i="1"/>
  <c r="A46" i="1"/>
  <c r="P45" i="1"/>
  <c r="O45" i="1"/>
  <c r="K45" i="1"/>
  <c r="I45" i="1"/>
  <c r="G45" i="1"/>
  <c r="E45" i="1"/>
  <c r="D45" i="1"/>
  <c r="B45" i="1"/>
  <c r="A45" i="1"/>
  <c r="P44" i="1"/>
  <c r="O44" i="1"/>
  <c r="K44" i="1"/>
  <c r="I44" i="1"/>
  <c r="G44" i="1"/>
  <c r="E44" i="1"/>
  <c r="D44" i="1"/>
  <c r="B44" i="1"/>
  <c r="A44" i="1"/>
  <c r="P43" i="1"/>
  <c r="O43" i="1"/>
  <c r="K43" i="1"/>
  <c r="I43" i="1"/>
  <c r="G43" i="1"/>
  <c r="E43" i="1"/>
  <c r="D43" i="1"/>
  <c r="B43" i="1"/>
  <c r="A43" i="1"/>
  <c r="P42" i="1"/>
  <c r="O42" i="1"/>
  <c r="K42" i="1"/>
  <c r="I42" i="1"/>
  <c r="G42" i="1"/>
  <c r="E42" i="1"/>
  <c r="D42" i="1"/>
  <c r="B42" i="1"/>
  <c r="A42" i="1"/>
  <c r="P41" i="1"/>
  <c r="O41" i="1"/>
  <c r="K41" i="1"/>
  <c r="I41" i="1"/>
  <c r="G41" i="1"/>
  <c r="E41" i="1"/>
  <c r="D41" i="1"/>
  <c r="B41" i="1"/>
  <c r="A41" i="1"/>
  <c r="P40" i="1"/>
  <c r="O40" i="1"/>
  <c r="K40" i="1"/>
  <c r="I40" i="1"/>
  <c r="G40" i="1"/>
  <c r="E40" i="1"/>
  <c r="D40" i="1"/>
  <c r="B40" i="1"/>
  <c r="A40" i="1"/>
  <c r="P39" i="1"/>
  <c r="O39" i="1"/>
  <c r="K39" i="1"/>
  <c r="I39" i="1"/>
  <c r="G39" i="1"/>
  <c r="E39" i="1"/>
  <c r="D39" i="1"/>
  <c r="B39" i="1"/>
  <c r="A39" i="1"/>
  <c r="P38" i="1"/>
  <c r="O38" i="1"/>
  <c r="K38" i="1"/>
  <c r="I38" i="1"/>
  <c r="G38" i="1"/>
  <c r="E38" i="1"/>
  <c r="D38" i="1"/>
  <c r="B38" i="1"/>
  <c r="A38" i="1"/>
  <c r="P37" i="1"/>
  <c r="O37" i="1"/>
  <c r="K37" i="1"/>
  <c r="I37" i="1"/>
  <c r="G37" i="1"/>
  <c r="E37" i="1"/>
  <c r="D37" i="1"/>
  <c r="B37" i="1"/>
  <c r="A37" i="1"/>
  <c r="P36" i="1"/>
  <c r="O36" i="1"/>
  <c r="K36" i="1"/>
  <c r="I36" i="1"/>
  <c r="G36" i="1"/>
  <c r="E36" i="1"/>
  <c r="D36" i="1"/>
  <c r="B36" i="1"/>
  <c r="A36" i="1"/>
  <c r="P35" i="1"/>
  <c r="O35" i="1"/>
  <c r="K35" i="1"/>
  <c r="I35" i="1"/>
  <c r="G35" i="1"/>
  <c r="E35" i="1"/>
  <c r="D35" i="1"/>
  <c r="B35" i="1"/>
  <c r="A35" i="1"/>
  <c r="P34" i="1"/>
  <c r="O34" i="1"/>
  <c r="K34" i="1"/>
  <c r="I34" i="1"/>
  <c r="G34" i="1"/>
  <c r="E34" i="1"/>
  <c r="D34" i="1"/>
  <c r="B34" i="1"/>
  <c r="A34" i="1"/>
  <c r="P33" i="1"/>
  <c r="O33" i="1"/>
  <c r="K33" i="1"/>
  <c r="I33" i="1"/>
  <c r="G33" i="1"/>
  <c r="E33" i="1"/>
  <c r="D33" i="1"/>
  <c r="B33" i="1"/>
  <c r="A33" i="1"/>
  <c r="P32" i="1"/>
  <c r="O32" i="1"/>
  <c r="K32" i="1"/>
  <c r="I32" i="1"/>
  <c r="G32" i="1"/>
  <c r="E32" i="1"/>
  <c r="D32" i="1"/>
  <c r="B32" i="1"/>
  <c r="A32" i="1"/>
  <c r="P31" i="1"/>
  <c r="O31" i="1"/>
  <c r="K31" i="1"/>
  <c r="I31" i="1"/>
  <c r="G31" i="1"/>
  <c r="E31" i="1"/>
  <c r="D31" i="1"/>
  <c r="B31" i="1"/>
  <c r="A31" i="1"/>
  <c r="P30" i="1"/>
  <c r="O30" i="1"/>
  <c r="K30" i="1"/>
  <c r="I30" i="1"/>
  <c r="G30" i="1"/>
  <c r="E30" i="1"/>
  <c r="D30" i="1"/>
  <c r="B30" i="1"/>
  <c r="A30" i="1"/>
  <c r="P29" i="1"/>
  <c r="O29" i="1"/>
  <c r="N29" i="1"/>
  <c r="K29" i="1"/>
  <c r="J29" i="1"/>
  <c r="I29" i="1"/>
  <c r="H29" i="1"/>
  <c r="G29" i="1"/>
  <c r="F29" i="1"/>
  <c r="E29" i="1"/>
  <c r="D29" i="1"/>
  <c r="C29" i="1"/>
  <c r="B29" i="1"/>
  <c r="A29" i="1"/>
  <c r="P28" i="1"/>
  <c r="O28" i="1"/>
  <c r="K28" i="1"/>
  <c r="I28" i="1"/>
  <c r="G28" i="1"/>
  <c r="E28" i="1"/>
  <c r="D28" i="1"/>
  <c r="B28" i="1"/>
  <c r="A28" i="1"/>
  <c r="P27" i="1"/>
  <c r="O27" i="1"/>
  <c r="K27" i="1"/>
  <c r="I27" i="1"/>
  <c r="G27" i="1"/>
  <c r="E27" i="1"/>
  <c r="D27" i="1"/>
  <c r="B27" i="1"/>
  <c r="A27" i="1"/>
  <c r="P26" i="1"/>
  <c r="O26" i="1"/>
  <c r="K26" i="1"/>
  <c r="I26" i="1"/>
  <c r="G26" i="1"/>
  <c r="E26" i="1"/>
  <c r="D26" i="1"/>
  <c r="B26" i="1"/>
  <c r="A26" i="1"/>
  <c r="P25" i="1"/>
  <c r="O25" i="1"/>
  <c r="K25" i="1"/>
  <c r="I25" i="1"/>
  <c r="G25" i="1"/>
  <c r="E25" i="1"/>
  <c r="D25" i="1"/>
  <c r="B25" i="1"/>
  <c r="A25" i="1"/>
  <c r="P24" i="1"/>
  <c r="O24" i="1"/>
  <c r="K24" i="1"/>
  <c r="I24" i="1"/>
  <c r="G24" i="1"/>
  <c r="E24" i="1"/>
  <c r="D24" i="1"/>
  <c r="B24" i="1"/>
  <c r="A24" i="1"/>
  <c r="P23" i="1"/>
  <c r="O23" i="1"/>
  <c r="K23" i="1"/>
  <c r="I23" i="1"/>
  <c r="G23" i="1"/>
  <c r="E23" i="1"/>
  <c r="D23" i="1"/>
  <c r="B23" i="1"/>
  <c r="A23" i="1"/>
  <c r="P22" i="1"/>
  <c r="O22" i="1"/>
  <c r="K22" i="1"/>
  <c r="I22" i="1"/>
  <c r="G22" i="1"/>
  <c r="E22" i="1"/>
  <c r="D22" i="1"/>
  <c r="B22" i="1"/>
  <c r="A22" i="1"/>
  <c r="P21" i="1"/>
  <c r="O21" i="1"/>
  <c r="K21" i="1"/>
  <c r="I21" i="1"/>
  <c r="G21" i="1"/>
  <c r="E21" i="1"/>
  <c r="D21" i="1"/>
  <c r="B21" i="1"/>
  <c r="A21" i="1"/>
  <c r="P20" i="1"/>
  <c r="O20" i="1"/>
  <c r="K20" i="1"/>
  <c r="I20" i="1"/>
  <c r="G20" i="1"/>
  <c r="E20" i="1"/>
  <c r="D20" i="1"/>
  <c r="B20" i="1"/>
  <c r="A20" i="1"/>
  <c r="P19" i="1"/>
  <c r="O19" i="1"/>
  <c r="K19" i="1"/>
  <c r="I19" i="1"/>
  <c r="G19" i="1"/>
  <c r="E19" i="1"/>
  <c r="D19" i="1"/>
  <c r="B19" i="1"/>
  <c r="A19" i="1"/>
  <c r="P18" i="1"/>
  <c r="O18" i="1"/>
  <c r="K18" i="1"/>
  <c r="I18" i="1"/>
  <c r="G18" i="1"/>
  <c r="E18" i="1"/>
  <c r="D18" i="1"/>
  <c r="B18" i="1"/>
  <c r="A18" i="1"/>
  <c r="P17" i="1"/>
  <c r="O17" i="1"/>
  <c r="K17" i="1"/>
  <c r="I17" i="1"/>
  <c r="G17" i="1"/>
  <c r="E17" i="1"/>
  <c r="D17" i="1"/>
  <c r="B17" i="1"/>
  <c r="A17" i="1"/>
  <c r="P16" i="1"/>
  <c r="O16" i="1"/>
  <c r="K16" i="1"/>
  <c r="I16" i="1"/>
  <c r="G16" i="1"/>
  <c r="E16" i="1"/>
  <c r="D16" i="1"/>
  <c r="B16" i="1"/>
  <c r="A16" i="1"/>
  <c r="P15" i="1"/>
  <c r="O15" i="1"/>
  <c r="K15" i="1"/>
  <c r="I15" i="1"/>
  <c r="G15" i="1"/>
  <c r="E15" i="1"/>
  <c r="D15" i="1"/>
  <c r="B15" i="1"/>
  <c r="A15" i="1"/>
  <c r="P14" i="1"/>
  <c r="O14" i="1"/>
  <c r="K14" i="1"/>
  <c r="I14" i="1"/>
  <c r="G14" i="1"/>
  <c r="E14" i="1"/>
  <c r="D14" i="1"/>
  <c r="B14" i="1"/>
  <c r="A14" i="1"/>
  <c r="O13" i="1"/>
  <c r="D13" i="1"/>
  <c r="B13" i="1"/>
  <c r="A13" i="1"/>
  <c r="P12" i="1"/>
  <c r="O12" i="1"/>
  <c r="K12" i="1"/>
  <c r="I12" i="1"/>
  <c r="G12" i="1"/>
  <c r="E12" i="1"/>
  <c r="D12" i="1"/>
  <c r="B12" i="1"/>
  <c r="A12" i="1"/>
  <c r="P11" i="1"/>
  <c r="O11" i="1"/>
  <c r="K11" i="1"/>
  <c r="I11" i="1"/>
  <c r="G11" i="1"/>
  <c r="E11" i="1"/>
  <c r="D11" i="1"/>
  <c r="B11" i="1"/>
  <c r="A11" i="1"/>
  <c r="P10" i="1"/>
  <c r="O10" i="1"/>
  <c r="K10" i="1"/>
  <c r="I10" i="1"/>
  <c r="G10" i="1"/>
  <c r="E10" i="1"/>
  <c r="D10" i="1"/>
  <c r="B10" i="1"/>
  <c r="A10" i="1"/>
  <c r="P9" i="1"/>
  <c r="O9" i="1"/>
  <c r="K9" i="1"/>
  <c r="I9" i="1"/>
  <c r="G9" i="1"/>
  <c r="E9" i="1"/>
  <c r="D9" i="1"/>
  <c r="B9" i="1"/>
  <c r="A9" i="1"/>
  <c r="P8" i="1"/>
  <c r="O8" i="1"/>
  <c r="K8" i="1"/>
  <c r="I8" i="1"/>
  <c r="G8" i="1"/>
  <c r="E8" i="1"/>
  <c r="D8" i="1"/>
  <c r="B8" i="1"/>
  <c r="A8" i="1"/>
  <c r="P7" i="1"/>
  <c r="O7" i="1"/>
  <c r="K7" i="1"/>
  <c r="I7" i="1"/>
  <c r="G7" i="1"/>
  <c r="E7" i="1"/>
  <c r="D7" i="1"/>
  <c r="B7" i="1"/>
  <c r="A7" i="1"/>
  <c r="P6" i="1"/>
  <c r="O6" i="1"/>
  <c r="K6" i="1"/>
  <c r="I6" i="1"/>
  <c r="G6" i="1"/>
  <c r="E6" i="1"/>
  <c r="D6" i="1"/>
  <c r="B6" i="1"/>
  <c r="A6" i="1"/>
  <c r="P5" i="1"/>
  <c r="O5" i="1"/>
  <c r="N5" i="1"/>
  <c r="K5" i="1"/>
  <c r="J5" i="1"/>
  <c r="I5" i="1"/>
  <c r="H5" i="1"/>
  <c r="G5" i="1"/>
  <c r="F5" i="1"/>
  <c r="E5" i="1"/>
  <c r="D5" i="1"/>
  <c r="C5" i="1"/>
  <c r="B5" i="1"/>
  <c r="A5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N2" i="1"/>
  <c r="L2" i="1"/>
  <c r="C2" i="1"/>
  <c r="B1" i="1"/>
  <c r="A1" i="1"/>
</calcChain>
</file>

<file path=xl/sharedStrings.xml><?xml version="1.0" encoding="utf-8"?>
<sst xmlns="http://schemas.openxmlformats.org/spreadsheetml/2006/main" count="190" uniqueCount="54">
  <si>
    <t>NO</t>
  </si>
  <si>
    <t>NO2</t>
  </si>
  <si>
    <t>NOx</t>
  </si>
  <si>
    <t>DV Media giornaliera [°N]</t>
  </si>
  <si>
    <t>DV Media oraria [°N]</t>
  </si>
  <si>
    <t>Pluv Media giornaliera [mm]</t>
  </si>
  <si>
    <t>Pluv Media oraria [mm]</t>
  </si>
  <si>
    <t>Press Media giornaliera [mbar]</t>
  </si>
  <si>
    <t>Press Media oraria [mbar]</t>
  </si>
  <si>
    <t>RADST Media giornaliera [W/m2]</t>
  </si>
  <si>
    <t>RADST Media oraria [W/m2]</t>
  </si>
  <si>
    <t>Temp Media giornaliera [°C]</t>
  </si>
  <si>
    <t>Temp Media oraria [°C]</t>
  </si>
  <si>
    <t>U.R. Media giornaliera [%]</t>
  </si>
  <si>
    <t>U.R. Media orari [%]</t>
  </si>
  <si>
    <t>UV Media giornaliera [%]</t>
  </si>
  <si>
    <t>UV Media orari [%]</t>
  </si>
  <si>
    <t>VV Media giornaliera [m/s]</t>
  </si>
  <si>
    <t>VV Media oraria [m/s]</t>
  </si>
  <si>
    <t>Toluene</t>
  </si>
  <si>
    <t>m, p Xilene</t>
  </si>
  <si>
    <t>Verifica Cal OK</t>
  </si>
  <si>
    <t>Calma di vento</t>
  </si>
  <si>
    <t>Limite d.lgs 155 ( 50 µg/m³)</t>
  </si>
  <si>
    <t>2020/05/05</t>
  </si>
  <si>
    <t>2020/05/06</t>
  </si>
  <si>
    <t>2020/05/07</t>
  </si>
  <si>
    <t>2020/05/08</t>
  </si>
  <si>
    <t>2020/05/09</t>
  </si>
  <si>
    <t>2020/05/10</t>
  </si>
  <si>
    <t>2020/05/11</t>
  </si>
  <si>
    <t>2020/05/12</t>
  </si>
  <si>
    <t>2020/05/13</t>
  </si>
  <si>
    <t>2020/05/14</t>
  </si>
  <si>
    <t>2020/05/15</t>
  </si>
  <si>
    <t>2020/05/16</t>
  </si>
  <si>
    <t>2020/05/17</t>
  </si>
  <si>
    <t>2020/05/18</t>
  </si>
  <si>
    <t>Limite d.lgs 155 ( 25 µg/m³)</t>
  </si>
  <si>
    <t>Giorno</t>
  </si>
  <si>
    <t>Benzo(a)pirene</t>
  </si>
  <si>
    <t>Limite d.lgs 155/2010</t>
  </si>
  <si>
    <t>[ng/m³]</t>
  </si>
  <si>
    <t>Limite d.lgs 155/2010 (1 ng/m3)</t>
  </si>
  <si>
    <t>Metallo</t>
  </si>
  <si>
    <t>Unità di misura</t>
  </si>
  <si>
    <t>Valore</t>
  </si>
  <si>
    <t>Nichel</t>
  </si>
  <si>
    <r>
      <t>ng/m</t>
    </r>
    <r>
      <rPr>
        <vertAlign val="superscript"/>
        <sz val="8"/>
        <color theme="1"/>
        <rFont val="Times New Roman"/>
        <family val="1"/>
      </rPr>
      <t>3</t>
    </r>
  </si>
  <si>
    <t>Arsenico</t>
  </si>
  <si>
    <t>&lt;0,45</t>
  </si>
  <si>
    <t>Cadmio</t>
  </si>
  <si>
    <t>Piombo</t>
  </si>
  <si>
    <r>
      <t>μg/m</t>
    </r>
    <r>
      <rPr>
        <vertAlign val="superscript"/>
        <sz val="8"/>
        <color theme="1"/>
        <rFont val="Times New Roman"/>
        <family val="1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</si>
</sst>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2"/>
      <color theme="1"/>
      <name val="Calibri"/>
      <family val="2"/>
      <scheme val="minor"/>
    </font>
    <font>
      <sz val="12"/>
      <color indexed="8"/>
      <name val="DejaVu Serif"/>
    </font>
    <font>
      <sz val="12"/>
      <color rgb="FF000000"/>
      <name val="DejaVu Serif"/>
    </font>
    <font>
      <strike/>
      <sz val="12"/>
      <color indexed="10"/>
      <name val="DejaVu Serif"/>
    </font>
    <font>
      <sz val="10"/>
      <name val="Arial"/>
      <family val="2"/>
    </font>
    <font>
      <sz val="11"/>
      <color rgb="FF000000"/>
      <name val="Times New Roman"/>
      <family val="1"/>
    </font>
    <font>
      <sz val="11"/>
      <name val="Arial"/>
      <family val="2"/>
    </font>
    <font>
      <sz val="8"/>
      <color rgb="FF000000"/>
      <name val="Philosopher"/>
    </font>
    <font>
      <sz val="8"/>
      <color rgb="FF000000"/>
      <name val="Times New Roman"/>
      <family val="1"/>
    </font>
    <font>
      <vertAlign val="superscript"/>
      <sz val="8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99CC0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0" fillId="0" borderId="0" xfId="0" applyBorder="1"/>
    <xf numFmtId="0" fontId="4" fillId="0" borderId="0" xfId="0" applyFont="1" applyFill="1" applyBorder="1"/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2" fontId="0" fillId="0" borderId="0" xfId="0" applyNumberFormat="1" applyFill="1" applyBorder="1"/>
    <xf numFmtId="0" fontId="0" fillId="0" borderId="0" xfId="0" applyFill="1" applyBorder="1"/>
    <xf numFmtId="0" fontId="0" fillId="0" borderId="6" xfId="0" applyBorder="1"/>
    <xf numFmtId="2" fontId="1" fillId="3" borderId="6" xfId="0" applyNumberFormat="1" applyFont="1" applyFill="1" applyBorder="1" applyAlignment="1" applyProtection="1">
      <alignment horizontal="center" vertical="center" wrapText="1"/>
    </xf>
    <xf numFmtId="2" fontId="1" fillId="0" borderId="6" xfId="0" applyNumberFormat="1" applyFont="1" applyFill="1" applyBorder="1" applyAlignment="1" applyProtection="1">
      <alignment horizontal="center" vertical="center" wrapText="1"/>
    </xf>
    <xf numFmtId="0" fontId="0" fillId="0" borderId="6" xfId="0" applyFill="1" applyBorder="1"/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14" fontId="7" fillId="5" borderId="6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ED594-E208-6748-952C-76B9004B2EF7}">
  <dimension ref="A1:P340"/>
  <sheetViews>
    <sheetView zoomScaleNormal="100" workbookViewId="0">
      <selection activeCell="V331" sqref="V331"/>
    </sheetView>
  </sheetViews>
  <sheetFormatPr baseColWidth="10" defaultRowHeight="16"/>
  <cols>
    <col min="1" max="1" width="14.5" customWidth="1"/>
    <col min="2" max="2" width="8" customWidth="1"/>
    <col min="3" max="13" width="15.1640625" customWidth="1"/>
    <col min="14" max="14" width="11.6640625" bestFit="1" customWidth="1"/>
    <col min="15" max="15" width="12.6640625" bestFit="1" customWidth="1"/>
    <col min="16" max="16" width="19.1640625" customWidth="1"/>
    <col min="257" max="257" width="14.5" customWidth="1"/>
    <col min="258" max="258" width="8" customWidth="1"/>
    <col min="259" max="269" width="15.1640625" customWidth="1"/>
    <col min="270" max="270" width="11.6640625" bestFit="1" customWidth="1"/>
    <col min="271" max="272" width="12.6640625" bestFit="1" customWidth="1"/>
    <col min="513" max="513" width="14.5" customWidth="1"/>
    <col min="514" max="514" width="8" customWidth="1"/>
    <col min="515" max="525" width="15.1640625" customWidth="1"/>
    <col min="526" max="526" width="11.6640625" bestFit="1" customWidth="1"/>
    <col min="527" max="528" width="12.6640625" bestFit="1" customWidth="1"/>
    <col min="769" max="769" width="14.5" customWidth="1"/>
    <col min="770" max="770" width="8" customWidth="1"/>
    <col min="771" max="781" width="15.1640625" customWidth="1"/>
    <col min="782" max="782" width="11.6640625" bestFit="1" customWidth="1"/>
    <col min="783" max="784" width="12.6640625" bestFit="1" customWidth="1"/>
    <col min="1025" max="1025" width="14.5" customWidth="1"/>
    <col min="1026" max="1026" width="8" customWidth="1"/>
    <col min="1027" max="1037" width="15.1640625" customWidth="1"/>
    <col min="1038" max="1038" width="11.6640625" bestFit="1" customWidth="1"/>
    <col min="1039" max="1040" width="12.6640625" bestFit="1" customWidth="1"/>
    <col min="1281" max="1281" width="14.5" customWidth="1"/>
    <col min="1282" max="1282" width="8" customWidth="1"/>
    <col min="1283" max="1293" width="15.1640625" customWidth="1"/>
    <col min="1294" max="1294" width="11.6640625" bestFit="1" customWidth="1"/>
    <col min="1295" max="1296" width="12.6640625" bestFit="1" customWidth="1"/>
    <col min="1537" max="1537" width="14.5" customWidth="1"/>
    <col min="1538" max="1538" width="8" customWidth="1"/>
    <col min="1539" max="1549" width="15.1640625" customWidth="1"/>
    <col min="1550" max="1550" width="11.6640625" bestFit="1" customWidth="1"/>
    <col min="1551" max="1552" width="12.6640625" bestFit="1" customWidth="1"/>
    <col min="1793" max="1793" width="14.5" customWidth="1"/>
    <col min="1794" max="1794" width="8" customWidth="1"/>
    <col min="1795" max="1805" width="15.1640625" customWidth="1"/>
    <col min="1806" max="1806" width="11.6640625" bestFit="1" customWidth="1"/>
    <col min="1807" max="1808" width="12.6640625" bestFit="1" customWidth="1"/>
    <col min="2049" max="2049" width="14.5" customWidth="1"/>
    <col min="2050" max="2050" width="8" customWidth="1"/>
    <col min="2051" max="2061" width="15.1640625" customWidth="1"/>
    <col min="2062" max="2062" width="11.6640625" bestFit="1" customWidth="1"/>
    <col min="2063" max="2064" width="12.6640625" bestFit="1" customWidth="1"/>
    <col min="2305" max="2305" width="14.5" customWidth="1"/>
    <col min="2306" max="2306" width="8" customWidth="1"/>
    <col min="2307" max="2317" width="15.1640625" customWidth="1"/>
    <col min="2318" max="2318" width="11.6640625" bestFit="1" customWidth="1"/>
    <col min="2319" max="2320" width="12.6640625" bestFit="1" customWidth="1"/>
    <col min="2561" max="2561" width="14.5" customWidth="1"/>
    <col min="2562" max="2562" width="8" customWidth="1"/>
    <col min="2563" max="2573" width="15.1640625" customWidth="1"/>
    <col min="2574" max="2574" width="11.6640625" bestFit="1" customWidth="1"/>
    <col min="2575" max="2576" width="12.6640625" bestFit="1" customWidth="1"/>
    <col min="2817" max="2817" width="14.5" customWidth="1"/>
    <col min="2818" max="2818" width="8" customWidth="1"/>
    <col min="2819" max="2829" width="15.1640625" customWidth="1"/>
    <col min="2830" max="2830" width="11.6640625" bestFit="1" customWidth="1"/>
    <col min="2831" max="2832" width="12.6640625" bestFit="1" customWidth="1"/>
    <col min="3073" max="3073" width="14.5" customWidth="1"/>
    <col min="3074" max="3074" width="8" customWidth="1"/>
    <col min="3075" max="3085" width="15.1640625" customWidth="1"/>
    <col min="3086" max="3086" width="11.6640625" bestFit="1" customWidth="1"/>
    <col min="3087" max="3088" width="12.6640625" bestFit="1" customWidth="1"/>
    <col min="3329" max="3329" width="14.5" customWidth="1"/>
    <col min="3330" max="3330" width="8" customWidth="1"/>
    <col min="3331" max="3341" width="15.1640625" customWidth="1"/>
    <col min="3342" max="3342" width="11.6640625" bestFit="1" customWidth="1"/>
    <col min="3343" max="3344" width="12.6640625" bestFit="1" customWidth="1"/>
    <col min="3585" max="3585" width="14.5" customWidth="1"/>
    <col min="3586" max="3586" width="8" customWidth="1"/>
    <col min="3587" max="3597" width="15.1640625" customWidth="1"/>
    <col min="3598" max="3598" width="11.6640625" bestFit="1" customWidth="1"/>
    <col min="3599" max="3600" width="12.6640625" bestFit="1" customWidth="1"/>
    <col min="3841" max="3841" width="14.5" customWidth="1"/>
    <col min="3842" max="3842" width="8" customWidth="1"/>
    <col min="3843" max="3853" width="15.1640625" customWidth="1"/>
    <col min="3854" max="3854" width="11.6640625" bestFit="1" customWidth="1"/>
    <col min="3855" max="3856" width="12.6640625" bestFit="1" customWidth="1"/>
    <col min="4097" max="4097" width="14.5" customWidth="1"/>
    <col min="4098" max="4098" width="8" customWidth="1"/>
    <col min="4099" max="4109" width="15.1640625" customWidth="1"/>
    <col min="4110" max="4110" width="11.6640625" bestFit="1" customWidth="1"/>
    <col min="4111" max="4112" width="12.6640625" bestFit="1" customWidth="1"/>
    <col min="4353" max="4353" width="14.5" customWidth="1"/>
    <col min="4354" max="4354" width="8" customWidth="1"/>
    <col min="4355" max="4365" width="15.1640625" customWidth="1"/>
    <col min="4366" max="4366" width="11.6640625" bestFit="1" customWidth="1"/>
    <col min="4367" max="4368" width="12.6640625" bestFit="1" customWidth="1"/>
    <col min="4609" max="4609" width="14.5" customWidth="1"/>
    <col min="4610" max="4610" width="8" customWidth="1"/>
    <col min="4611" max="4621" width="15.1640625" customWidth="1"/>
    <col min="4622" max="4622" width="11.6640625" bestFit="1" customWidth="1"/>
    <col min="4623" max="4624" width="12.6640625" bestFit="1" customWidth="1"/>
    <col min="4865" max="4865" width="14.5" customWidth="1"/>
    <col min="4866" max="4866" width="8" customWidth="1"/>
    <col min="4867" max="4877" width="15.1640625" customWidth="1"/>
    <col min="4878" max="4878" width="11.6640625" bestFit="1" customWidth="1"/>
    <col min="4879" max="4880" width="12.6640625" bestFit="1" customWidth="1"/>
    <col min="5121" max="5121" width="14.5" customWidth="1"/>
    <col min="5122" max="5122" width="8" customWidth="1"/>
    <col min="5123" max="5133" width="15.1640625" customWidth="1"/>
    <col min="5134" max="5134" width="11.6640625" bestFit="1" customWidth="1"/>
    <col min="5135" max="5136" width="12.6640625" bestFit="1" customWidth="1"/>
    <col min="5377" max="5377" width="14.5" customWidth="1"/>
    <col min="5378" max="5378" width="8" customWidth="1"/>
    <col min="5379" max="5389" width="15.1640625" customWidth="1"/>
    <col min="5390" max="5390" width="11.6640625" bestFit="1" customWidth="1"/>
    <col min="5391" max="5392" width="12.6640625" bestFit="1" customWidth="1"/>
    <col min="5633" max="5633" width="14.5" customWidth="1"/>
    <col min="5634" max="5634" width="8" customWidth="1"/>
    <col min="5635" max="5645" width="15.1640625" customWidth="1"/>
    <col min="5646" max="5646" width="11.6640625" bestFit="1" customWidth="1"/>
    <col min="5647" max="5648" width="12.6640625" bestFit="1" customWidth="1"/>
    <col min="5889" max="5889" width="14.5" customWidth="1"/>
    <col min="5890" max="5890" width="8" customWidth="1"/>
    <col min="5891" max="5901" width="15.1640625" customWidth="1"/>
    <col min="5902" max="5902" width="11.6640625" bestFit="1" customWidth="1"/>
    <col min="5903" max="5904" width="12.6640625" bestFit="1" customWidth="1"/>
    <col min="6145" max="6145" width="14.5" customWidth="1"/>
    <col min="6146" max="6146" width="8" customWidth="1"/>
    <col min="6147" max="6157" width="15.1640625" customWidth="1"/>
    <col min="6158" max="6158" width="11.6640625" bestFit="1" customWidth="1"/>
    <col min="6159" max="6160" width="12.6640625" bestFit="1" customWidth="1"/>
    <col min="6401" max="6401" width="14.5" customWidth="1"/>
    <col min="6402" max="6402" width="8" customWidth="1"/>
    <col min="6403" max="6413" width="15.1640625" customWidth="1"/>
    <col min="6414" max="6414" width="11.6640625" bestFit="1" customWidth="1"/>
    <col min="6415" max="6416" width="12.6640625" bestFit="1" customWidth="1"/>
    <col min="6657" max="6657" width="14.5" customWidth="1"/>
    <col min="6658" max="6658" width="8" customWidth="1"/>
    <col min="6659" max="6669" width="15.1640625" customWidth="1"/>
    <col min="6670" max="6670" width="11.6640625" bestFit="1" customWidth="1"/>
    <col min="6671" max="6672" width="12.6640625" bestFit="1" customWidth="1"/>
    <col min="6913" max="6913" width="14.5" customWidth="1"/>
    <col min="6914" max="6914" width="8" customWidth="1"/>
    <col min="6915" max="6925" width="15.1640625" customWidth="1"/>
    <col min="6926" max="6926" width="11.6640625" bestFit="1" customWidth="1"/>
    <col min="6927" max="6928" width="12.6640625" bestFit="1" customWidth="1"/>
    <col min="7169" max="7169" width="14.5" customWidth="1"/>
    <col min="7170" max="7170" width="8" customWidth="1"/>
    <col min="7171" max="7181" width="15.1640625" customWidth="1"/>
    <col min="7182" max="7182" width="11.6640625" bestFit="1" customWidth="1"/>
    <col min="7183" max="7184" width="12.6640625" bestFit="1" customWidth="1"/>
    <col min="7425" max="7425" width="14.5" customWidth="1"/>
    <col min="7426" max="7426" width="8" customWidth="1"/>
    <col min="7427" max="7437" width="15.1640625" customWidth="1"/>
    <col min="7438" max="7438" width="11.6640625" bestFit="1" customWidth="1"/>
    <col min="7439" max="7440" width="12.6640625" bestFit="1" customWidth="1"/>
    <col min="7681" max="7681" width="14.5" customWidth="1"/>
    <col min="7682" max="7682" width="8" customWidth="1"/>
    <col min="7683" max="7693" width="15.1640625" customWidth="1"/>
    <col min="7694" max="7694" width="11.6640625" bestFit="1" customWidth="1"/>
    <col min="7695" max="7696" width="12.6640625" bestFit="1" customWidth="1"/>
    <col min="7937" max="7937" width="14.5" customWidth="1"/>
    <col min="7938" max="7938" width="8" customWidth="1"/>
    <col min="7939" max="7949" width="15.1640625" customWidth="1"/>
    <col min="7950" max="7950" width="11.6640625" bestFit="1" customWidth="1"/>
    <col min="7951" max="7952" width="12.6640625" bestFit="1" customWidth="1"/>
    <col min="8193" max="8193" width="14.5" customWidth="1"/>
    <col min="8194" max="8194" width="8" customWidth="1"/>
    <col min="8195" max="8205" width="15.1640625" customWidth="1"/>
    <col min="8206" max="8206" width="11.6640625" bestFit="1" customWidth="1"/>
    <col min="8207" max="8208" width="12.6640625" bestFit="1" customWidth="1"/>
    <col min="8449" max="8449" width="14.5" customWidth="1"/>
    <col min="8450" max="8450" width="8" customWidth="1"/>
    <col min="8451" max="8461" width="15.1640625" customWidth="1"/>
    <col min="8462" max="8462" width="11.6640625" bestFit="1" customWidth="1"/>
    <col min="8463" max="8464" width="12.6640625" bestFit="1" customWidth="1"/>
    <col min="8705" max="8705" width="14.5" customWidth="1"/>
    <col min="8706" max="8706" width="8" customWidth="1"/>
    <col min="8707" max="8717" width="15.1640625" customWidth="1"/>
    <col min="8718" max="8718" width="11.6640625" bestFit="1" customWidth="1"/>
    <col min="8719" max="8720" width="12.6640625" bestFit="1" customWidth="1"/>
    <col min="8961" max="8961" width="14.5" customWidth="1"/>
    <col min="8962" max="8962" width="8" customWidth="1"/>
    <col min="8963" max="8973" width="15.1640625" customWidth="1"/>
    <col min="8974" max="8974" width="11.6640625" bestFit="1" customWidth="1"/>
    <col min="8975" max="8976" width="12.6640625" bestFit="1" customWidth="1"/>
    <col min="9217" max="9217" width="14.5" customWidth="1"/>
    <col min="9218" max="9218" width="8" customWidth="1"/>
    <col min="9219" max="9229" width="15.1640625" customWidth="1"/>
    <col min="9230" max="9230" width="11.6640625" bestFit="1" customWidth="1"/>
    <col min="9231" max="9232" width="12.6640625" bestFit="1" customWidth="1"/>
    <col min="9473" max="9473" width="14.5" customWidth="1"/>
    <col min="9474" max="9474" width="8" customWidth="1"/>
    <col min="9475" max="9485" width="15.1640625" customWidth="1"/>
    <col min="9486" max="9486" width="11.6640625" bestFit="1" customWidth="1"/>
    <col min="9487" max="9488" width="12.6640625" bestFit="1" customWidth="1"/>
    <col min="9729" max="9729" width="14.5" customWidth="1"/>
    <col min="9730" max="9730" width="8" customWidth="1"/>
    <col min="9731" max="9741" width="15.1640625" customWidth="1"/>
    <col min="9742" max="9742" width="11.6640625" bestFit="1" customWidth="1"/>
    <col min="9743" max="9744" width="12.6640625" bestFit="1" customWidth="1"/>
    <col min="9985" max="9985" width="14.5" customWidth="1"/>
    <col min="9986" max="9986" width="8" customWidth="1"/>
    <col min="9987" max="9997" width="15.1640625" customWidth="1"/>
    <col min="9998" max="9998" width="11.6640625" bestFit="1" customWidth="1"/>
    <col min="9999" max="10000" width="12.6640625" bestFit="1" customWidth="1"/>
    <col min="10241" max="10241" width="14.5" customWidth="1"/>
    <col min="10242" max="10242" width="8" customWidth="1"/>
    <col min="10243" max="10253" width="15.1640625" customWidth="1"/>
    <col min="10254" max="10254" width="11.6640625" bestFit="1" customWidth="1"/>
    <col min="10255" max="10256" width="12.6640625" bestFit="1" customWidth="1"/>
    <col min="10497" max="10497" width="14.5" customWidth="1"/>
    <col min="10498" max="10498" width="8" customWidth="1"/>
    <col min="10499" max="10509" width="15.1640625" customWidth="1"/>
    <col min="10510" max="10510" width="11.6640625" bestFit="1" customWidth="1"/>
    <col min="10511" max="10512" width="12.6640625" bestFit="1" customWidth="1"/>
    <col min="10753" max="10753" width="14.5" customWidth="1"/>
    <col min="10754" max="10754" width="8" customWidth="1"/>
    <col min="10755" max="10765" width="15.1640625" customWidth="1"/>
    <col min="10766" max="10766" width="11.6640625" bestFit="1" customWidth="1"/>
    <col min="10767" max="10768" width="12.6640625" bestFit="1" customWidth="1"/>
    <col min="11009" max="11009" width="14.5" customWidth="1"/>
    <col min="11010" max="11010" width="8" customWidth="1"/>
    <col min="11011" max="11021" width="15.1640625" customWidth="1"/>
    <col min="11022" max="11022" width="11.6640625" bestFit="1" customWidth="1"/>
    <col min="11023" max="11024" width="12.6640625" bestFit="1" customWidth="1"/>
    <col min="11265" max="11265" width="14.5" customWidth="1"/>
    <col min="11266" max="11266" width="8" customWidth="1"/>
    <col min="11267" max="11277" width="15.1640625" customWidth="1"/>
    <col min="11278" max="11278" width="11.6640625" bestFit="1" customWidth="1"/>
    <col min="11279" max="11280" width="12.6640625" bestFit="1" customWidth="1"/>
    <col min="11521" max="11521" width="14.5" customWidth="1"/>
    <col min="11522" max="11522" width="8" customWidth="1"/>
    <col min="11523" max="11533" width="15.1640625" customWidth="1"/>
    <col min="11534" max="11534" width="11.6640625" bestFit="1" customWidth="1"/>
    <col min="11535" max="11536" width="12.6640625" bestFit="1" customWidth="1"/>
    <col min="11777" max="11777" width="14.5" customWidth="1"/>
    <col min="11778" max="11778" width="8" customWidth="1"/>
    <col min="11779" max="11789" width="15.1640625" customWidth="1"/>
    <col min="11790" max="11790" width="11.6640625" bestFit="1" customWidth="1"/>
    <col min="11791" max="11792" width="12.6640625" bestFit="1" customWidth="1"/>
    <col min="12033" max="12033" width="14.5" customWidth="1"/>
    <col min="12034" max="12034" width="8" customWidth="1"/>
    <col min="12035" max="12045" width="15.1640625" customWidth="1"/>
    <col min="12046" max="12046" width="11.6640625" bestFit="1" customWidth="1"/>
    <col min="12047" max="12048" width="12.6640625" bestFit="1" customWidth="1"/>
    <col min="12289" max="12289" width="14.5" customWidth="1"/>
    <col min="12290" max="12290" width="8" customWidth="1"/>
    <col min="12291" max="12301" width="15.1640625" customWidth="1"/>
    <col min="12302" max="12302" width="11.6640625" bestFit="1" customWidth="1"/>
    <col min="12303" max="12304" width="12.6640625" bestFit="1" customWidth="1"/>
    <col min="12545" max="12545" width="14.5" customWidth="1"/>
    <col min="12546" max="12546" width="8" customWidth="1"/>
    <col min="12547" max="12557" width="15.1640625" customWidth="1"/>
    <col min="12558" max="12558" width="11.6640625" bestFit="1" customWidth="1"/>
    <col min="12559" max="12560" width="12.6640625" bestFit="1" customWidth="1"/>
    <col min="12801" max="12801" width="14.5" customWidth="1"/>
    <col min="12802" max="12802" width="8" customWidth="1"/>
    <col min="12803" max="12813" width="15.1640625" customWidth="1"/>
    <col min="12814" max="12814" width="11.6640625" bestFit="1" customWidth="1"/>
    <col min="12815" max="12816" width="12.6640625" bestFit="1" customWidth="1"/>
    <col min="13057" max="13057" width="14.5" customWidth="1"/>
    <col min="13058" max="13058" width="8" customWidth="1"/>
    <col min="13059" max="13069" width="15.1640625" customWidth="1"/>
    <col min="13070" max="13070" width="11.6640625" bestFit="1" customWidth="1"/>
    <col min="13071" max="13072" width="12.6640625" bestFit="1" customWidth="1"/>
    <col min="13313" max="13313" width="14.5" customWidth="1"/>
    <col min="13314" max="13314" width="8" customWidth="1"/>
    <col min="13315" max="13325" width="15.1640625" customWidth="1"/>
    <col min="13326" max="13326" width="11.6640625" bestFit="1" customWidth="1"/>
    <col min="13327" max="13328" width="12.6640625" bestFit="1" customWidth="1"/>
    <col min="13569" max="13569" width="14.5" customWidth="1"/>
    <col min="13570" max="13570" width="8" customWidth="1"/>
    <col min="13571" max="13581" width="15.1640625" customWidth="1"/>
    <col min="13582" max="13582" width="11.6640625" bestFit="1" customWidth="1"/>
    <col min="13583" max="13584" width="12.6640625" bestFit="1" customWidth="1"/>
    <col min="13825" max="13825" width="14.5" customWidth="1"/>
    <col min="13826" max="13826" width="8" customWidth="1"/>
    <col min="13827" max="13837" width="15.1640625" customWidth="1"/>
    <col min="13838" max="13838" width="11.6640625" bestFit="1" customWidth="1"/>
    <col min="13839" max="13840" width="12.6640625" bestFit="1" customWidth="1"/>
    <col min="14081" max="14081" width="14.5" customWidth="1"/>
    <col min="14082" max="14082" width="8" customWidth="1"/>
    <col min="14083" max="14093" width="15.1640625" customWidth="1"/>
    <col min="14094" max="14094" width="11.6640625" bestFit="1" customWidth="1"/>
    <col min="14095" max="14096" width="12.6640625" bestFit="1" customWidth="1"/>
    <col min="14337" max="14337" width="14.5" customWidth="1"/>
    <col min="14338" max="14338" width="8" customWidth="1"/>
    <col min="14339" max="14349" width="15.1640625" customWidth="1"/>
    <col min="14350" max="14350" width="11.6640625" bestFit="1" customWidth="1"/>
    <col min="14351" max="14352" width="12.6640625" bestFit="1" customWidth="1"/>
    <col min="14593" max="14593" width="14.5" customWidth="1"/>
    <col min="14594" max="14594" width="8" customWidth="1"/>
    <col min="14595" max="14605" width="15.1640625" customWidth="1"/>
    <col min="14606" max="14606" width="11.6640625" bestFit="1" customWidth="1"/>
    <col min="14607" max="14608" width="12.6640625" bestFit="1" customWidth="1"/>
    <col min="14849" max="14849" width="14.5" customWidth="1"/>
    <col min="14850" max="14850" width="8" customWidth="1"/>
    <col min="14851" max="14861" width="15.1640625" customWidth="1"/>
    <col min="14862" max="14862" width="11.6640625" bestFit="1" customWidth="1"/>
    <col min="14863" max="14864" width="12.6640625" bestFit="1" customWidth="1"/>
    <col min="15105" max="15105" width="14.5" customWidth="1"/>
    <col min="15106" max="15106" width="8" customWidth="1"/>
    <col min="15107" max="15117" width="15.1640625" customWidth="1"/>
    <col min="15118" max="15118" width="11.6640625" bestFit="1" customWidth="1"/>
    <col min="15119" max="15120" width="12.6640625" bestFit="1" customWidth="1"/>
    <col min="15361" max="15361" width="14.5" customWidth="1"/>
    <col min="15362" max="15362" width="8" customWidth="1"/>
    <col min="15363" max="15373" width="15.1640625" customWidth="1"/>
    <col min="15374" max="15374" width="11.6640625" bestFit="1" customWidth="1"/>
    <col min="15375" max="15376" width="12.6640625" bestFit="1" customWidth="1"/>
    <col min="15617" max="15617" width="14.5" customWidth="1"/>
    <col min="15618" max="15618" width="8" customWidth="1"/>
    <col min="15619" max="15629" width="15.1640625" customWidth="1"/>
    <col min="15630" max="15630" width="11.6640625" bestFit="1" customWidth="1"/>
    <col min="15631" max="15632" width="12.6640625" bestFit="1" customWidth="1"/>
    <col min="15873" max="15873" width="14.5" customWidth="1"/>
    <col min="15874" max="15874" width="8" customWidth="1"/>
    <col min="15875" max="15885" width="15.1640625" customWidth="1"/>
    <col min="15886" max="15886" width="11.6640625" bestFit="1" customWidth="1"/>
    <col min="15887" max="15888" width="12.6640625" bestFit="1" customWidth="1"/>
    <col min="16129" max="16129" width="14.5" customWidth="1"/>
    <col min="16130" max="16130" width="8" customWidth="1"/>
    <col min="16131" max="16141" width="15.1640625" customWidth="1"/>
    <col min="16142" max="16142" width="11.6640625" bestFit="1" customWidth="1"/>
    <col min="16143" max="16144" width="12.6640625" bestFit="1" customWidth="1"/>
  </cols>
  <sheetData>
    <row r="1" spans="1:16" ht="17">
      <c r="A1" s="1" t="str">
        <f>"Giorno"</f>
        <v>Giorno</v>
      </c>
      <c r="B1" s="1" t="str">
        <f>"Ora"</f>
        <v>Ora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7">
      <c r="A2" s="1"/>
      <c r="B2" s="1"/>
      <c r="C2" s="1" t="str">
        <f>"CO"</f>
        <v>CO</v>
      </c>
      <c r="D2" s="1"/>
      <c r="E2" s="1"/>
      <c r="F2" s="1" t="s">
        <v>0</v>
      </c>
      <c r="G2" s="1"/>
      <c r="H2" s="1" t="s">
        <v>1</v>
      </c>
      <c r="I2" s="1"/>
      <c r="J2" s="1" t="s">
        <v>2</v>
      </c>
      <c r="K2" s="1"/>
      <c r="L2" s="1" t="str">
        <f>"SO2"</f>
        <v>SO2</v>
      </c>
      <c r="M2" s="1"/>
      <c r="N2" s="1" t="str">
        <f>"O3"</f>
        <v>O3</v>
      </c>
      <c r="O2" s="1"/>
      <c r="P2" s="1"/>
    </row>
    <row r="3" spans="1:16" ht="34">
      <c r="A3" s="1"/>
      <c r="B3" s="1"/>
      <c r="C3" s="1" t="str">
        <f>"Media giornaliera"</f>
        <v>Media giornaliera</v>
      </c>
      <c r="D3" s="1" t="str">
        <f>"Media mobile 8 ore"</f>
        <v>Media mobile 8 ore</v>
      </c>
      <c r="E3" s="1" t="str">
        <f>"Media oraria"</f>
        <v>Media oraria</v>
      </c>
      <c r="F3" s="1" t="str">
        <f>"Media giornaliera"</f>
        <v>Media giornaliera</v>
      </c>
      <c r="G3" s="1" t="str">
        <f>"Media oraria"</f>
        <v>Media oraria</v>
      </c>
      <c r="H3" s="1" t="str">
        <f>"Media giornaliera"</f>
        <v>Media giornaliera</v>
      </c>
      <c r="I3" s="1" t="str">
        <f>"Media oraria"</f>
        <v>Media oraria</v>
      </c>
      <c r="J3" s="1" t="str">
        <f>"Media giornaliera"</f>
        <v>Media giornaliera</v>
      </c>
      <c r="K3" s="1" t="str">
        <f>"Media oraria"</f>
        <v>Media oraria</v>
      </c>
      <c r="L3" s="1" t="str">
        <f>"Media giornaliera"</f>
        <v>Media giornaliera</v>
      </c>
      <c r="M3" s="1" t="str">
        <f>"Media oraria"</f>
        <v>Media oraria</v>
      </c>
      <c r="N3" s="1" t="str">
        <f>"Media giornaliera"</f>
        <v>Media giornaliera</v>
      </c>
      <c r="O3" s="1" t="str">
        <f>"Media mobile 8 ore"</f>
        <v>Media mobile 8 ore</v>
      </c>
      <c r="P3" s="1" t="str">
        <f>"Media oraria"</f>
        <v>Media oraria</v>
      </c>
    </row>
    <row r="4" spans="1:16" ht="17">
      <c r="A4" s="1"/>
      <c r="B4" s="1"/>
      <c r="C4" s="1" t="str">
        <f>"[mg/m³] "</f>
        <v xml:space="preserve">[mg/m³] </v>
      </c>
      <c r="D4" s="1" t="str">
        <f>"[mg/m³] "</f>
        <v xml:space="preserve">[mg/m³] </v>
      </c>
      <c r="E4" s="1" t="str">
        <f>"[mg/m³] "</f>
        <v xml:space="preserve">[mg/m³] </v>
      </c>
      <c r="F4" s="1" t="str">
        <f t="shared" ref="F4:K4" si="0">"[µg/m³] "</f>
        <v xml:space="preserve">[µg/m³] </v>
      </c>
      <c r="G4" s="1" t="str">
        <f t="shared" si="0"/>
        <v xml:space="preserve">[µg/m³] </v>
      </c>
      <c r="H4" s="1" t="str">
        <f t="shared" si="0"/>
        <v xml:space="preserve">[µg/m³] </v>
      </c>
      <c r="I4" s="1" t="str">
        <f t="shared" si="0"/>
        <v xml:space="preserve">[µg/m³] </v>
      </c>
      <c r="J4" s="1" t="str">
        <f t="shared" si="0"/>
        <v xml:space="preserve">[µg/m³] </v>
      </c>
      <c r="K4" s="1" t="str">
        <f t="shared" si="0"/>
        <v xml:space="preserve">[µg/m³] </v>
      </c>
      <c r="L4" s="1" t="str">
        <f>"[µg/m³] "</f>
        <v xml:space="preserve">[µg/m³] </v>
      </c>
      <c r="M4" s="1" t="str">
        <f>"[µg/m³] "</f>
        <v xml:space="preserve">[µg/m³] </v>
      </c>
      <c r="N4" s="1" t="str">
        <f>"[µg/m³] "</f>
        <v xml:space="preserve">[µg/m³] </v>
      </c>
      <c r="O4" s="1" t="str">
        <f>"[µg/m³] "</f>
        <v xml:space="preserve">[µg/m³] </v>
      </c>
      <c r="P4" s="1" t="str">
        <f>"[µg/m³] "</f>
        <v xml:space="preserve">[µg/m³] </v>
      </c>
    </row>
    <row r="5" spans="1:16" ht="17">
      <c r="A5" s="1" t="str">
        <f t="shared" ref="A5:A28" si="1">"2020/05/05"</f>
        <v>2020/05/05</v>
      </c>
      <c r="B5" s="1" t="str">
        <f>"01:00"</f>
        <v>01:00</v>
      </c>
      <c r="C5" s="2">
        <f>1.0702792</f>
        <v>1.0702792000000001</v>
      </c>
      <c r="D5" s="2">
        <f>1.1094823</f>
        <v>1.1094823</v>
      </c>
      <c r="E5" s="2">
        <f>1.028785</f>
        <v>1.0287850000000001</v>
      </c>
      <c r="F5" s="2">
        <f>6.424981</f>
        <v>6.4249809999999998</v>
      </c>
      <c r="G5" s="2">
        <f>0.6943226</f>
        <v>0.69432260000000001</v>
      </c>
      <c r="H5" s="2">
        <f>24.38382</f>
        <v>24.38382</v>
      </c>
      <c r="I5" s="2">
        <f>7.6441736</f>
        <v>7.6441736000000002</v>
      </c>
      <c r="J5" s="2">
        <f>33.540627</f>
        <v>33.540627000000001</v>
      </c>
      <c r="K5" s="2">
        <f>8.708829</f>
        <v>8.7088289999999997</v>
      </c>
      <c r="L5" s="3">
        <v>0.55781020000000003</v>
      </c>
      <c r="M5" s="4">
        <v>0.10361031</v>
      </c>
      <c r="N5" s="2">
        <f>73.40765</f>
        <v>73.407650000000004</v>
      </c>
      <c r="O5" s="2">
        <f>85.11976</f>
        <v>85.119759999999999</v>
      </c>
      <c r="P5" s="2">
        <f>78.98592</f>
        <v>78.985919999999993</v>
      </c>
    </row>
    <row r="6" spans="1:16" ht="17">
      <c r="A6" s="1" t="str">
        <f t="shared" si="1"/>
        <v>2020/05/05</v>
      </c>
      <c r="B6" s="1" t="str">
        <f>"02:00"</f>
        <v>02:00</v>
      </c>
      <c r="C6" s="2"/>
      <c r="D6" s="2">
        <f>1.0923544</f>
        <v>1.0923544000000001</v>
      </c>
      <c r="E6" s="2">
        <f>1.0261272</f>
        <v>1.0261271999999999</v>
      </c>
      <c r="F6" s="2"/>
      <c r="G6" s="2">
        <f>1.1512979</f>
        <v>1.1512979000000001</v>
      </c>
      <c r="H6" s="2"/>
      <c r="I6" s="2">
        <f>9.844553</f>
        <v>9.8445529999999994</v>
      </c>
      <c r="J6" s="2"/>
      <c r="K6" s="2">
        <f>11.608522</f>
        <v>11.608522000000001</v>
      </c>
      <c r="L6" s="5"/>
      <c r="M6" s="6">
        <v>0.13763218999999999</v>
      </c>
      <c r="N6" s="2"/>
      <c r="O6" s="2">
        <f>81.77994</f>
        <v>81.779939999999996</v>
      </c>
      <c r="P6" s="2">
        <f>72.325615</f>
        <v>72.325614999999999</v>
      </c>
    </row>
    <row r="7" spans="1:16" ht="17">
      <c r="A7" s="1" t="str">
        <f t="shared" si="1"/>
        <v>2020/05/05</v>
      </c>
      <c r="B7" s="1" t="str">
        <f>"03:00"</f>
        <v>03:00</v>
      </c>
      <c r="C7" s="2"/>
      <c r="D7" s="2">
        <f>1.0800896</f>
        <v>1.0800896</v>
      </c>
      <c r="E7" s="2">
        <f>1.0223988</f>
        <v>1.0223987999999999</v>
      </c>
      <c r="F7" s="2"/>
      <c r="G7" s="2">
        <f>4.144385</f>
        <v>4.1443849999999998</v>
      </c>
      <c r="H7" s="2"/>
      <c r="I7" s="2">
        <f>17.833122</f>
        <v>17.833121999999999</v>
      </c>
      <c r="J7" s="2"/>
      <c r="K7" s="2">
        <f>24.080608</f>
        <v>24.080608000000002</v>
      </c>
      <c r="L7" s="5"/>
      <c r="M7" s="6">
        <v>0.24810112000000001</v>
      </c>
      <c r="N7" s="2"/>
      <c r="O7" s="2">
        <f>77.38186</f>
        <v>77.381860000000003</v>
      </c>
      <c r="P7" s="2">
        <f>63.70594</f>
        <v>63.705939999999998</v>
      </c>
    </row>
    <row r="8" spans="1:16" ht="17">
      <c r="A8" s="1" t="str">
        <f t="shared" si="1"/>
        <v>2020/05/05</v>
      </c>
      <c r="B8" s="1" t="str">
        <f>"04:00"</f>
        <v>04:00</v>
      </c>
      <c r="C8" s="2"/>
      <c r="D8" s="2">
        <f>1.0785906</f>
        <v>1.0785906000000001</v>
      </c>
      <c r="E8" s="2">
        <f>1.0858015</f>
        <v>1.0858015000000001</v>
      </c>
      <c r="F8" s="2"/>
      <c r="G8" s="2">
        <f>2.9302416</f>
        <v>2.9302416</v>
      </c>
      <c r="H8" s="2"/>
      <c r="I8" s="2">
        <f>54.48912</f>
        <v>54.48912</v>
      </c>
      <c r="J8" s="2"/>
      <c r="K8" s="2">
        <f>58.920036</f>
        <v>58.920036000000003</v>
      </c>
      <c r="L8" s="5"/>
      <c r="M8" s="6">
        <v>0.13691634999999999</v>
      </c>
      <c r="N8" s="2"/>
      <c r="O8" s="2">
        <f>67.55112</f>
        <v>67.551119999999997</v>
      </c>
      <c r="P8" s="2">
        <f>24.811775</f>
        <v>24.811775000000001</v>
      </c>
    </row>
    <row r="9" spans="1:16" ht="17">
      <c r="A9" s="1" t="str">
        <f t="shared" si="1"/>
        <v>2020/05/05</v>
      </c>
      <c r="B9" s="1" t="str">
        <f>"05:00"</f>
        <v>05:00</v>
      </c>
      <c r="C9" s="2"/>
      <c r="D9" s="2">
        <f>1.064931</f>
        <v>1.0649310000000001</v>
      </c>
      <c r="E9" s="2">
        <f>1.0223887</f>
        <v>1.0223887</v>
      </c>
      <c r="F9" s="2"/>
      <c r="G9" s="2">
        <f>0.8585138</f>
        <v>0.85851379999999999</v>
      </c>
      <c r="H9" s="2"/>
      <c r="I9" s="2">
        <f>16.307367</f>
        <v>16.307366999999999</v>
      </c>
      <c r="J9" s="2"/>
      <c r="K9" s="2">
        <f>17.634495</f>
        <v>17.634495000000001</v>
      </c>
      <c r="L9" s="5"/>
      <c r="M9" s="6">
        <v>0.25600677999999999</v>
      </c>
      <c r="N9" s="2"/>
      <c r="O9" s="2">
        <f>62.254772</f>
        <v>62.254772000000003</v>
      </c>
      <c r="P9" s="2">
        <f>52.638073</f>
        <v>52.638072999999999</v>
      </c>
    </row>
    <row r="10" spans="1:16" ht="17">
      <c r="A10" s="1" t="str">
        <f t="shared" si="1"/>
        <v>2020/05/05</v>
      </c>
      <c r="B10" s="1" t="str">
        <f>"06:00"</f>
        <v>06:00</v>
      </c>
      <c r="C10" s="2"/>
      <c r="D10" s="2">
        <f>1.0642947</f>
        <v>1.0642947</v>
      </c>
      <c r="E10" s="2">
        <f>1.137064</f>
        <v>1.1370640000000001</v>
      </c>
      <c r="F10" s="2"/>
      <c r="G10" s="2">
        <f>4.597701</f>
        <v>4.5977009999999998</v>
      </c>
      <c r="H10" s="2"/>
      <c r="I10" s="2">
        <f>29.362562</f>
        <v>29.362562</v>
      </c>
      <c r="J10" s="2"/>
      <c r="K10" s="2">
        <f>36.41183</f>
        <v>36.411830000000002</v>
      </c>
      <c r="L10" s="5"/>
      <c r="M10" s="6">
        <v>0.30394085999999998</v>
      </c>
      <c r="N10" s="2"/>
      <c r="O10" s="2">
        <f>58.2552</f>
        <v>58.255200000000002</v>
      </c>
      <c r="P10" s="2">
        <f>42.71148</f>
        <v>42.711480000000002</v>
      </c>
    </row>
    <row r="11" spans="1:16" ht="17">
      <c r="A11" s="1" t="str">
        <f t="shared" si="1"/>
        <v>2020/05/05</v>
      </c>
      <c r="B11" s="1" t="str">
        <f>"07:00"</f>
        <v>07:00</v>
      </c>
      <c r="C11" s="2"/>
      <c r="D11" s="2">
        <f>1.0601757</f>
        <v>1.0601757000000001</v>
      </c>
      <c r="E11" s="2">
        <f>1.1008011</f>
        <v>1.1008011</v>
      </c>
      <c r="F11" s="2"/>
      <c r="G11" s="2">
        <f>5.1497855</f>
        <v>5.1497855000000001</v>
      </c>
      <c r="H11" s="2"/>
      <c r="I11" s="2">
        <f>36.41492</f>
        <v>36.414920000000002</v>
      </c>
      <c r="J11" s="2"/>
      <c r="K11" s="2">
        <f>44.310585</f>
        <v>44.310585000000003</v>
      </c>
      <c r="L11" s="5"/>
      <c r="M11" s="6">
        <v>0.32823883999999998</v>
      </c>
      <c r="N11" s="2"/>
      <c r="O11" s="2">
        <f>55.012413</f>
        <v>55.012413000000002</v>
      </c>
      <c r="P11" s="2">
        <f>37.31467</f>
        <v>37.31467</v>
      </c>
    </row>
    <row r="12" spans="1:16" ht="17">
      <c r="A12" s="1" t="str">
        <f t="shared" si="1"/>
        <v>2020/05/05</v>
      </c>
      <c r="B12" s="1" t="str">
        <f>"08:00"</f>
        <v>08:00</v>
      </c>
      <c r="C12" s="2"/>
      <c r="D12" s="2">
        <f>1.0890002</f>
        <v>1.0890002000000001</v>
      </c>
      <c r="E12" s="2">
        <f>1.2886355</f>
        <v>1.2886355</v>
      </c>
      <c r="F12" s="2"/>
      <c r="G12" s="2">
        <f>34.172356</f>
        <v>34.172356000000001</v>
      </c>
      <c r="H12" s="2"/>
      <c r="I12" s="2">
        <f>64.11468</f>
        <v>64.114680000000007</v>
      </c>
      <c r="J12" s="2"/>
      <c r="K12" s="2">
        <f>116.51064</f>
        <v>116.51064</v>
      </c>
      <c r="L12" s="5"/>
      <c r="M12" s="6">
        <v>0.51631844000000005</v>
      </c>
      <c r="N12" s="2"/>
      <c r="O12" s="2">
        <f>49.38902</f>
        <v>49.389020000000002</v>
      </c>
      <c r="P12" s="2">
        <f>22.618662</f>
        <v>22.618662</v>
      </c>
    </row>
    <row r="13" spans="1:16" ht="17">
      <c r="A13" s="1" t="str">
        <f t="shared" si="1"/>
        <v>2020/05/05</v>
      </c>
      <c r="B13" s="1" t="str">
        <f>"09:00"</f>
        <v>09:00</v>
      </c>
      <c r="C13" s="2"/>
      <c r="D13" s="2">
        <f>1.0976024</f>
        <v>1.0976024</v>
      </c>
      <c r="E13" s="7" t="s">
        <v>21</v>
      </c>
      <c r="F13" s="2"/>
      <c r="G13" s="7" t="s">
        <v>21</v>
      </c>
      <c r="H13" s="2"/>
      <c r="I13" s="7" t="s">
        <v>21</v>
      </c>
      <c r="J13" s="2"/>
      <c r="K13" s="7" t="s">
        <v>21</v>
      </c>
      <c r="L13" s="5"/>
      <c r="M13" s="7" t="s">
        <v>21</v>
      </c>
      <c r="N13" s="2"/>
      <c r="O13" s="2">
        <f>45.16089</f>
        <v>45.160890000000002</v>
      </c>
      <c r="P13" s="7" t="s">
        <v>21</v>
      </c>
    </row>
    <row r="14" spans="1:16" ht="17">
      <c r="A14" s="1" t="str">
        <f t="shared" si="1"/>
        <v>2020/05/05</v>
      </c>
      <c r="B14" s="1" t="str">
        <f>"10:00"</f>
        <v>10:00</v>
      </c>
      <c r="C14" s="2"/>
      <c r="D14" s="2">
        <f>1.109515</f>
        <v>1.109515</v>
      </c>
      <c r="E14" s="2">
        <f>1.2881398</f>
        <v>1.2881397999999999</v>
      </c>
      <c r="F14" s="2"/>
      <c r="G14" s="2">
        <f>10.84707</f>
        <v>10.84707</v>
      </c>
      <c r="H14" s="2"/>
      <c r="I14" s="2">
        <f>30.163885</f>
        <v>30.163885000000001</v>
      </c>
      <c r="J14" s="2"/>
      <c r="K14" s="2">
        <f>46.802097</f>
        <v>46.802097000000003</v>
      </c>
      <c r="L14" s="5"/>
      <c r="M14" s="2">
        <v>0.81873779999999996</v>
      </c>
      <c r="N14" s="2"/>
      <c r="O14" s="2">
        <f>40.633434</f>
        <v>40.633434000000001</v>
      </c>
      <c r="P14" s="2">
        <f>85.33479</f>
        <v>85.334789999999998</v>
      </c>
    </row>
    <row r="15" spans="1:16" ht="17">
      <c r="A15" s="1" t="str">
        <f t="shared" si="1"/>
        <v>2020/05/05</v>
      </c>
      <c r="B15" s="1" t="str">
        <f>"11:00"</f>
        <v>11:00</v>
      </c>
      <c r="C15" s="2"/>
      <c r="D15" s="2">
        <f>1.1292005</f>
        <v>1.1292005000000001</v>
      </c>
      <c r="E15" s="2">
        <f>1.1405118</f>
        <v>1.1405118000000001</v>
      </c>
      <c r="F15" s="2"/>
      <c r="G15" s="2">
        <f>20.987705</f>
        <v>20.987704999999998</v>
      </c>
      <c r="H15" s="2"/>
      <c r="I15" s="2">
        <f>37.69695</f>
        <v>37.696950000000001</v>
      </c>
      <c r="J15" s="2"/>
      <c r="K15" s="2">
        <f>68.53256</f>
        <v>68.532560000000004</v>
      </c>
      <c r="L15" s="5"/>
      <c r="M15" s="6">
        <v>0.93941819999999998</v>
      </c>
      <c r="N15" s="2"/>
      <c r="O15" s="2">
        <f>40.836975</f>
        <v>40.836975000000002</v>
      </c>
      <c r="P15" s="2">
        <f>64.92719</f>
        <v>64.927189999999996</v>
      </c>
    </row>
    <row r="16" spans="1:16" ht="17">
      <c r="A16" s="1" t="str">
        <f t="shared" si="1"/>
        <v>2020/05/05</v>
      </c>
      <c r="B16" s="1" t="str">
        <f>"12:00"</f>
        <v>12:00</v>
      </c>
      <c r="C16" s="2"/>
      <c r="D16" s="2">
        <f>1.1288928</f>
        <v>1.1288928</v>
      </c>
      <c r="E16" s="2">
        <f>1.0839558</f>
        <v>1.0839558</v>
      </c>
      <c r="F16" s="2"/>
      <c r="G16" s="2">
        <f>12.219332</f>
        <v>12.219332</v>
      </c>
      <c r="H16" s="2"/>
      <c r="I16" s="2">
        <f>28.823318</f>
        <v>28.823318</v>
      </c>
      <c r="J16" s="2"/>
      <c r="K16" s="2">
        <f>47.55913</f>
        <v>47.559130000000003</v>
      </c>
      <c r="L16" s="5"/>
      <c r="M16" s="6">
        <v>0.88332485999999999</v>
      </c>
      <c r="N16" s="2"/>
      <c r="O16" s="2">
        <f>49.13921</f>
        <v>49.139209999999999</v>
      </c>
      <c r="P16" s="2">
        <f>74.62519</f>
        <v>74.625190000000003</v>
      </c>
    </row>
    <row r="17" spans="1:16" ht="17">
      <c r="A17" s="1" t="str">
        <f t="shared" si="1"/>
        <v>2020/05/05</v>
      </c>
      <c r="B17" s="1" t="str">
        <f>"13:00"</f>
        <v>13:00</v>
      </c>
      <c r="C17" s="2"/>
      <c r="D17" s="2">
        <f>1.1337333</f>
        <v>1.1337333000000001</v>
      </c>
      <c r="E17" s="2">
        <f>1.0514312</f>
        <v>1.0514311999999999</v>
      </c>
      <c r="F17" s="2"/>
      <c r="G17" s="2">
        <f>8.682239</f>
        <v>8.6822389999999992</v>
      </c>
      <c r="H17" s="2"/>
      <c r="I17" s="2">
        <f>20.385506</f>
        <v>20.385505999999999</v>
      </c>
      <c r="J17" s="2"/>
      <c r="K17" s="2">
        <f>33.697826</f>
        <v>33.697825999999999</v>
      </c>
      <c r="L17" s="5"/>
      <c r="M17" s="6">
        <v>0.64251225999999995</v>
      </c>
      <c r="N17" s="2"/>
      <c r="O17" s="2">
        <f>55.543884</f>
        <v>55.543883999999998</v>
      </c>
      <c r="P17" s="2">
        <f>91.06611</f>
        <v>91.066109999999995</v>
      </c>
    </row>
    <row r="18" spans="1:16" ht="17">
      <c r="A18" s="1" t="str">
        <f t="shared" si="1"/>
        <v>2020/05/05</v>
      </c>
      <c r="B18" s="1" t="str">
        <f>"14:00"</f>
        <v>14:00</v>
      </c>
      <c r="C18" s="2"/>
      <c r="D18" s="2">
        <f>1.1105171</f>
        <v>1.1105171</v>
      </c>
      <c r="E18" s="2">
        <f>0.99776775</f>
        <v>0.99776774999999995</v>
      </c>
      <c r="F18" s="2"/>
      <c r="G18" s="2">
        <f>5.067942</f>
        <v>5.0679420000000004</v>
      </c>
      <c r="H18" s="2"/>
      <c r="I18" s="2">
        <f>14.551185</f>
        <v>14.551185</v>
      </c>
      <c r="J18" s="2"/>
      <c r="K18" s="2">
        <f>21.853024</f>
        <v>21.853024000000001</v>
      </c>
      <c r="L18" s="5"/>
      <c r="M18" s="6">
        <v>0.74061792999999998</v>
      </c>
      <c r="N18" s="2"/>
      <c r="O18" s="2">
        <f>65.52409</f>
        <v>65.524090000000001</v>
      </c>
      <c r="P18" s="2">
        <f>102.59272</f>
        <v>102.59272</v>
      </c>
    </row>
    <row r="19" spans="1:16" ht="17">
      <c r="A19" s="1" t="str">
        <f t="shared" si="1"/>
        <v>2020/05/05</v>
      </c>
      <c r="B19" s="1" t="str">
        <f>"15:00"</f>
        <v>15:00</v>
      </c>
      <c r="C19" s="2"/>
      <c r="D19" s="2">
        <f>1.0918912</f>
        <v>1.0918912000000001</v>
      </c>
      <c r="E19" s="2">
        <f>0.9890448</f>
        <v>0.98904479999999995</v>
      </c>
      <c r="F19" s="2"/>
      <c r="G19" s="2">
        <f>8.804971</f>
        <v>8.8049710000000001</v>
      </c>
      <c r="H19" s="2"/>
      <c r="I19" s="2">
        <f>16.98236</f>
        <v>16.98236</v>
      </c>
      <c r="J19" s="2"/>
      <c r="K19" s="2">
        <f>29.736757</f>
        <v>29.736757000000001</v>
      </c>
      <c r="L19" s="5"/>
      <c r="M19" s="6">
        <v>0.66407364999999996</v>
      </c>
      <c r="N19" s="2"/>
      <c r="O19" s="2">
        <f>76.72298</f>
        <v>76.722980000000007</v>
      </c>
      <c r="P19" s="2">
        <f>104.508</f>
        <v>104.508</v>
      </c>
    </row>
    <row r="20" spans="1:16" ht="17">
      <c r="A20" s="1" t="str">
        <f t="shared" si="1"/>
        <v>2020/05/05</v>
      </c>
      <c r="B20" s="1" t="str">
        <f>"16:00"</f>
        <v>16:00</v>
      </c>
      <c r="C20" s="2"/>
      <c r="D20" s="2">
        <f>1.04044</f>
        <v>1.04044</v>
      </c>
      <c r="E20" s="2">
        <f>0.97992843</f>
        <v>0.97992842999999996</v>
      </c>
      <c r="F20" s="2"/>
      <c r="G20" s="2">
        <f>1.8621768</f>
        <v>1.8621768000000001</v>
      </c>
      <c r="H20" s="2"/>
      <c r="I20" s="2">
        <f>7.259077</f>
        <v>7.2590769999999996</v>
      </c>
      <c r="J20" s="2"/>
      <c r="K20" s="2">
        <f>10.11436</f>
        <v>10.11436</v>
      </c>
      <c r="L20" s="5"/>
      <c r="M20" s="6">
        <v>0.68950915000000002</v>
      </c>
      <c r="N20" s="2"/>
      <c r="O20" s="2">
        <f>91.805725</f>
        <v>91.805724999999995</v>
      </c>
      <c r="P20" s="2">
        <f>113.11512</f>
        <v>113.11512</v>
      </c>
    </row>
    <row r="21" spans="1:16" ht="17">
      <c r="A21" s="1" t="str">
        <f t="shared" si="1"/>
        <v>2020/05/05</v>
      </c>
      <c r="B21" s="1" t="str">
        <f>"17:00"</f>
        <v>17:00</v>
      </c>
      <c r="C21" s="2"/>
      <c r="D21" s="2">
        <f>1.037333</f>
        <v>1.0373330000000001</v>
      </c>
      <c r="E21" s="2">
        <f>1.0186914</f>
        <v>1.0186914</v>
      </c>
      <c r="F21" s="2"/>
      <c r="G21" s="2">
        <f>1.8973215</f>
        <v>1.8973215000000001</v>
      </c>
      <c r="H21" s="2"/>
      <c r="I21" s="2">
        <f>8.498656</f>
        <v>8.4986560000000004</v>
      </c>
      <c r="J21" s="2"/>
      <c r="K21" s="2">
        <f>11.407775</f>
        <v>11.407775000000001</v>
      </c>
      <c r="L21" s="5"/>
      <c r="M21" s="6">
        <v>0.83176380000000005</v>
      </c>
      <c r="N21" s="2"/>
      <c r="O21" s="2">
        <f>95.0216</f>
        <v>95.021600000000007</v>
      </c>
      <c r="P21" s="2">
        <f>114.31687</f>
        <v>114.31686999999999</v>
      </c>
    </row>
    <row r="22" spans="1:16" ht="17">
      <c r="A22" s="1" t="str">
        <f t="shared" si="1"/>
        <v>2020/05/05</v>
      </c>
      <c r="B22" s="1" t="str">
        <f>"18:00"</f>
        <v>18:00</v>
      </c>
      <c r="C22" s="2"/>
      <c r="D22" s="2">
        <f>1.0361847</f>
        <v>1.0361847</v>
      </c>
      <c r="E22" s="2">
        <f>1.0281463</f>
        <v>1.0281463</v>
      </c>
      <c r="F22" s="2"/>
      <c r="G22" s="2">
        <f>2.2831914</f>
        <v>2.2831914000000002</v>
      </c>
      <c r="H22" s="2"/>
      <c r="I22" s="2">
        <f>10.081215</f>
        <v>10.081215</v>
      </c>
      <c r="J22" s="2"/>
      <c r="K22" s="2">
        <f>13.581929</f>
        <v>13.581929000000001</v>
      </c>
      <c r="L22" s="5"/>
      <c r="M22" s="6">
        <v>0.68965094999999998</v>
      </c>
      <c r="N22" s="2"/>
      <c r="O22" s="2">
        <f>97.28851</f>
        <v>97.288510000000002</v>
      </c>
      <c r="P22" s="2">
        <f>113.15689</f>
        <v>113.15689</v>
      </c>
    </row>
    <row r="23" spans="1:16" ht="17">
      <c r="A23" s="1" t="str">
        <f t="shared" si="1"/>
        <v>2020/05/05</v>
      </c>
      <c r="B23" s="1" t="str">
        <f>"19:00"</f>
        <v>19:00</v>
      </c>
      <c r="C23" s="2"/>
      <c r="D23" s="2">
        <f>1.0272102</f>
        <v>1.0272102000000001</v>
      </c>
      <c r="E23" s="2">
        <f>1.0687164</f>
        <v>1.0687164</v>
      </c>
      <c r="F23" s="2"/>
      <c r="G23" s="2">
        <f>2.619184</f>
        <v>2.6191840000000002</v>
      </c>
      <c r="H23" s="2"/>
      <c r="I23" s="2">
        <f>15.117306</f>
        <v>15.117305999999999</v>
      </c>
      <c r="J23" s="2"/>
      <c r="K23" s="2">
        <f>19.133347</f>
        <v>19.133347000000001</v>
      </c>
      <c r="L23" s="5"/>
      <c r="M23" s="6">
        <v>0.70779603999999996</v>
      </c>
      <c r="N23" s="2"/>
      <c r="O23" s="2">
        <f>102.88851</f>
        <v>102.88851</v>
      </c>
      <c r="P23" s="2">
        <f>109.72719</f>
        <v>109.72718999999999</v>
      </c>
    </row>
    <row r="24" spans="1:16" ht="17">
      <c r="A24" s="1" t="str">
        <f t="shared" si="1"/>
        <v>2020/05/05</v>
      </c>
      <c r="B24" s="1" t="str">
        <f>"20:00"</f>
        <v>20:00</v>
      </c>
      <c r="C24" s="2"/>
      <c r="D24" s="2">
        <f>1.0442095</f>
        <v>1.0442095</v>
      </c>
      <c r="E24" s="2">
        <f>1.21995</f>
        <v>1.2199500000000001</v>
      </c>
      <c r="F24" s="2"/>
      <c r="G24" s="2">
        <f>4.0678225</f>
        <v>4.0678225000000001</v>
      </c>
      <c r="H24" s="2"/>
      <c r="I24" s="2">
        <f>35.820293</f>
        <v>35.820292999999999</v>
      </c>
      <c r="J24" s="2"/>
      <c r="K24" s="2">
        <f>42.05764</f>
        <v>42.057639999999999</v>
      </c>
      <c r="L24" s="5"/>
      <c r="M24" s="6">
        <v>0.62595420000000002</v>
      </c>
      <c r="N24" s="2"/>
      <c r="O24" s="2">
        <f>103.69422</f>
        <v>103.69422</v>
      </c>
      <c r="P24" s="2">
        <f>81.07089</f>
        <v>81.070890000000006</v>
      </c>
    </row>
    <row r="25" spans="1:16" ht="17">
      <c r="A25" s="1" t="str">
        <f t="shared" si="1"/>
        <v>2020/05/05</v>
      </c>
      <c r="B25" s="1" t="str">
        <f>"21:00"</f>
        <v>21:00</v>
      </c>
      <c r="C25" s="2"/>
      <c r="D25" s="2">
        <f>1.0800772</f>
        <v>1.0800772000000001</v>
      </c>
      <c r="E25" s="2">
        <f>1.3383727</f>
        <v>1.3383727000000001</v>
      </c>
      <c r="F25" s="2"/>
      <c r="G25" s="2">
        <f>11.927939</f>
        <v>11.927939</v>
      </c>
      <c r="H25" s="2"/>
      <c r="I25" s="2">
        <f>63.91466</f>
        <v>63.914659999999998</v>
      </c>
      <c r="J25" s="2"/>
      <c r="K25" s="2">
        <f>82.203964</f>
        <v>82.203963999999999</v>
      </c>
      <c r="L25" s="5"/>
      <c r="M25" s="6">
        <v>0.76686096000000004</v>
      </c>
      <c r="N25" s="2"/>
      <c r="O25" s="2">
        <f>97.526054</f>
        <v>97.526054000000002</v>
      </c>
      <c r="P25" s="2">
        <f>41.720722</f>
        <v>41.720722000000002</v>
      </c>
    </row>
    <row r="26" spans="1:16" ht="17">
      <c r="A26" s="1" t="str">
        <f t="shared" si="1"/>
        <v>2020/05/05</v>
      </c>
      <c r="B26" s="1" t="str">
        <f>"22:00"</f>
        <v>22:00</v>
      </c>
      <c r="C26" s="2"/>
      <c r="D26" s="2">
        <f>1.0801661</f>
        <v>1.0801661</v>
      </c>
      <c r="E26" s="2">
        <f>0.998479</f>
        <v>0.99847900000000001</v>
      </c>
      <c r="F26" s="2"/>
      <c r="G26" s="2">
        <f>1.3032849</f>
        <v>1.3032849</v>
      </c>
      <c r="H26" s="2"/>
      <c r="I26" s="2">
        <f>18.262594</f>
        <v>18.262594</v>
      </c>
      <c r="J26" s="2"/>
      <c r="K26" s="2">
        <f>20.260838</f>
        <v>20.260838</v>
      </c>
      <c r="L26" s="5"/>
      <c r="M26" s="6">
        <v>0.72206234999999996</v>
      </c>
      <c r="N26" s="2"/>
      <c r="O26" s="2">
        <f>92.72024</f>
        <v>92.720240000000004</v>
      </c>
      <c r="P26" s="2">
        <f>64.146194</f>
        <v>64.146193999999994</v>
      </c>
    </row>
    <row r="27" spans="1:16" ht="17">
      <c r="A27" s="1" t="str">
        <f t="shared" si="1"/>
        <v>2020/05/05</v>
      </c>
      <c r="B27" s="1" t="str">
        <f>"23:00"</f>
        <v>23:00</v>
      </c>
      <c r="C27" s="2"/>
      <c r="D27" s="2">
        <f>1.0768727</f>
        <v>1.0768727</v>
      </c>
      <c r="E27" s="2">
        <f>0.9626976</f>
        <v>0.96269760000000004</v>
      </c>
      <c r="F27" s="2"/>
      <c r="G27" s="2">
        <f>0.7704841</f>
        <v>0.77048410000000001</v>
      </c>
      <c r="H27" s="2"/>
      <c r="I27" s="2">
        <f>8.899659</f>
        <v>8.8996589999999998</v>
      </c>
      <c r="J27" s="2"/>
      <c r="K27" s="2">
        <f>10.081002</f>
        <v>10.081002</v>
      </c>
      <c r="L27" s="5"/>
      <c r="M27" s="6">
        <v>0.62155305999999999</v>
      </c>
      <c r="N27" s="2"/>
      <c r="O27" s="2">
        <f>88.730804</f>
        <v>88.730804000000006</v>
      </c>
      <c r="P27" s="2">
        <f>72.592575</f>
        <v>72.592574999999997</v>
      </c>
    </row>
    <row r="28" spans="1:16" ht="17">
      <c r="A28" s="1" t="str">
        <f t="shared" si="1"/>
        <v>2020/05/05</v>
      </c>
      <c r="B28" s="1" t="str">
        <f>"24:00"</f>
        <v>24:00</v>
      </c>
      <c r="C28" s="2"/>
      <c r="D28" s="2">
        <f>1.0739377</f>
        <v>1.0739377000000001</v>
      </c>
      <c r="E28" s="2">
        <f>0.9564483</f>
        <v>0.95644830000000003</v>
      </c>
      <c r="F28" s="2"/>
      <c r="G28" s="2">
        <f>0.73529476</f>
        <v>0.73529476000000005</v>
      </c>
      <c r="H28" s="2"/>
      <c r="I28" s="2">
        <f>8.360678</f>
        <v>8.3606780000000001</v>
      </c>
      <c r="J28" s="2"/>
      <c r="K28" s="2">
        <f>9.488079</f>
        <v>9.4880790000000008</v>
      </c>
      <c r="L28" s="5"/>
      <c r="M28" s="6">
        <v>0.71596159999999998</v>
      </c>
      <c r="N28" s="2"/>
      <c r="O28" s="2">
        <f>83.62775</f>
        <v>83.627750000000006</v>
      </c>
      <c r="P28" s="2">
        <f>72.29066</f>
        <v>72.290660000000003</v>
      </c>
    </row>
    <row r="29" spans="1:16" ht="17">
      <c r="A29" s="1" t="str">
        <f t="shared" ref="A29:A52" si="2">"2020/05/06"</f>
        <v>2020/05/06</v>
      </c>
      <c r="B29" s="1" t="str">
        <f>"01:00"</f>
        <v>01:00</v>
      </c>
      <c r="C29" s="2">
        <f>1.0295566</f>
        <v>1.0295566</v>
      </c>
      <c r="D29" s="2">
        <f>1.0693077</f>
        <v>1.0693077</v>
      </c>
      <c r="E29" s="2">
        <f>0.98165095</f>
        <v>0.98165095000000002</v>
      </c>
      <c r="F29" s="2">
        <f>11.988237</f>
        <v>11.988237</v>
      </c>
      <c r="G29" s="2">
        <f>0.92240727</f>
        <v>0.92240727</v>
      </c>
      <c r="H29" s="2">
        <f>23.963736</f>
        <v>23.963736000000001</v>
      </c>
      <c r="I29" s="2">
        <f>12.377206</f>
        <v>12.377205999999999</v>
      </c>
      <c r="J29" s="2">
        <f>39.809204</f>
        <v>39.809204000000001</v>
      </c>
      <c r="K29" s="2">
        <f>13.791543</f>
        <v>13.791543000000001</v>
      </c>
      <c r="L29" s="5">
        <v>0.91350465999999997</v>
      </c>
      <c r="M29" s="6">
        <v>0.76503670000000001</v>
      </c>
      <c r="N29" s="2">
        <f>64.4859</f>
        <v>64.485900000000001</v>
      </c>
      <c r="O29" s="2">
        <f>76.80905</f>
        <v>76.809049999999999</v>
      </c>
      <c r="P29" s="2">
        <f>59.767273</f>
        <v>59.767273000000003</v>
      </c>
    </row>
    <row r="30" spans="1:16" ht="17">
      <c r="A30" s="1" t="str">
        <f t="shared" si="2"/>
        <v>2020/05/06</v>
      </c>
      <c r="B30" s="1" t="str">
        <f>"02:00"</f>
        <v>02:00</v>
      </c>
      <c r="C30" s="2"/>
      <c r="D30" s="2">
        <f>1.0624015</f>
        <v>1.0624015</v>
      </c>
      <c r="E30" s="2">
        <f>0.97289747</f>
        <v>0.97289747000000004</v>
      </c>
      <c r="F30" s="2"/>
      <c r="G30" s="2">
        <f>0.7923657</f>
        <v>0.79236569999999995</v>
      </c>
      <c r="H30" s="2"/>
      <c r="I30" s="2">
        <f>11.623059</f>
        <v>11.623059</v>
      </c>
      <c r="J30" s="2"/>
      <c r="K30" s="2">
        <f>12.838042</f>
        <v>12.838042</v>
      </c>
      <c r="L30" s="5"/>
      <c r="M30" s="6">
        <v>0.67782414000000002</v>
      </c>
      <c r="N30" s="2"/>
      <c r="O30" s="2">
        <f>69.78866</f>
        <v>69.788659999999993</v>
      </c>
      <c r="P30" s="2">
        <f>56.993744</f>
        <v>56.993744</v>
      </c>
    </row>
    <row r="31" spans="1:16" ht="17">
      <c r="A31" s="1" t="str">
        <f t="shared" si="2"/>
        <v>2020/05/06</v>
      </c>
      <c r="B31" s="1" t="str">
        <f>"03:00"</f>
        <v>03:00</v>
      </c>
      <c r="C31" s="2"/>
      <c r="D31" s="2">
        <f>1.055642</f>
        <v>1.055642</v>
      </c>
      <c r="E31" s="2">
        <f>1.0146403</f>
        <v>1.0146402999999999</v>
      </c>
      <c r="F31" s="2"/>
      <c r="G31" s="2">
        <f>1.7395439</f>
        <v>1.7395438999999999</v>
      </c>
      <c r="H31" s="2"/>
      <c r="I31" s="2">
        <f>21.338223</f>
        <v>21.338222999999999</v>
      </c>
      <c r="J31" s="2"/>
      <c r="K31" s="2">
        <f>24.005196</f>
        <v>24.005196000000002</v>
      </c>
      <c r="L31" s="5"/>
      <c r="M31" s="6">
        <v>0.6558467</v>
      </c>
      <c r="N31" s="2"/>
      <c r="O31" s="2">
        <f>61.3302</f>
        <v>61.330199999999998</v>
      </c>
      <c r="P31" s="2">
        <f>42.059536</f>
        <v>42.059536000000001</v>
      </c>
    </row>
    <row r="32" spans="1:16" ht="17">
      <c r="A32" s="1" t="str">
        <f t="shared" si="2"/>
        <v>2020/05/06</v>
      </c>
      <c r="B32" s="1" t="str">
        <f>"04:00"</f>
        <v>04:00</v>
      </c>
      <c r="C32" s="2"/>
      <c r="D32" s="2">
        <f>1.0363595</f>
        <v>1.0363595000000001</v>
      </c>
      <c r="E32" s="2">
        <f>1.0656903</f>
        <v>1.0656903</v>
      </c>
      <c r="F32" s="2"/>
      <c r="G32" s="2">
        <f>16.998041</f>
        <v>16.998041000000001</v>
      </c>
      <c r="H32" s="2"/>
      <c r="I32" s="2">
        <f>48.675083</f>
        <v>48.675083000000001</v>
      </c>
      <c r="J32" s="2"/>
      <c r="K32" s="2">
        <f>74.73725</f>
        <v>74.737250000000003</v>
      </c>
      <c r="L32" s="5"/>
      <c r="M32" s="6">
        <v>0.84798633999999995</v>
      </c>
      <c r="N32" s="2"/>
      <c r="O32" s="2">
        <f>52.05732</f>
        <v>52.057319999999997</v>
      </c>
      <c r="P32" s="2">
        <f>6.887858</f>
        <v>6.8878579999999996</v>
      </c>
    </row>
    <row r="33" spans="1:16" ht="17">
      <c r="A33" s="1" t="str">
        <f t="shared" si="2"/>
        <v>2020/05/06</v>
      </c>
      <c r="B33" s="1" t="str">
        <f>"05:00"</f>
        <v>05:00</v>
      </c>
      <c r="C33" s="2"/>
      <c r="D33" s="2">
        <f>1.0196373</f>
        <v>1.0196373000000001</v>
      </c>
      <c r="E33" s="2">
        <f>1.2045951</f>
        <v>1.2045950999999999</v>
      </c>
      <c r="F33" s="2"/>
      <c r="G33" s="2">
        <f>18.403559</f>
        <v>18.403559000000001</v>
      </c>
      <c r="H33" s="2"/>
      <c r="I33" s="2">
        <f>46.60377</f>
        <v>46.603769999999997</v>
      </c>
      <c r="J33" s="2"/>
      <c r="K33" s="2">
        <f>74.821815</f>
        <v>74.821815000000001</v>
      </c>
      <c r="L33" s="5"/>
      <c r="M33" s="6">
        <v>1.1961771999999999</v>
      </c>
      <c r="N33" s="2"/>
      <c r="O33" s="2">
        <f>48.035454</f>
        <v>48.035454000000001</v>
      </c>
      <c r="P33" s="2">
        <f>9.5457945</f>
        <v>9.5457944999999995</v>
      </c>
    </row>
    <row r="34" spans="1:16" ht="17">
      <c r="A34" s="1" t="str">
        <f t="shared" si="2"/>
        <v>2020/05/06</v>
      </c>
      <c r="B34" s="1" t="str">
        <f>"06:00"</f>
        <v>06:00</v>
      </c>
      <c r="C34" s="2"/>
      <c r="D34" s="2">
        <f>1.0278457</f>
        <v>1.0278457000000001</v>
      </c>
      <c r="E34" s="2">
        <f>1.064146</f>
        <v>1.064146</v>
      </c>
      <c r="F34" s="2"/>
      <c r="G34" s="2">
        <f>16.199253</f>
        <v>16.199252999999999</v>
      </c>
      <c r="H34" s="2"/>
      <c r="I34" s="2">
        <f>53.974003</f>
        <v>53.974003000000003</v>
      </c>
      <c r="J34" s="2"/>
      <c r="K34" s="2">
        <f>78.81293</f>
        <v>78.812929999999994</v>
      </c>
      <c r="L34" s="5"/>
      <c r="M34" s="6">
        <v>0.87756279999999998</v>
      </c>
      <c r="N34" s="2"/>
      <c r="O34" s="2">
        <f>42.068165</f>
        <v>42.068165</v>
      </c>
      <c r="P34" s="2">
        <f>16.407871</f>
        <v>16.407871</v>
      </c>
    </row>
    <row r="35" spans="1:16" ht="17">
      <c r="A35" s="1" t="str">
        <f t="shared" si="2"/>
        <v>2020/05/06</v>
      </c>
      <c r="B35" s="1" t="str">
        <f>"07:00"</f>
        <v>07:00</v>
      </c>
      <c r="C35" s="2"/>
      <c r="D35" s="2">
        <f>1.0484425</f>
        <v>1.0484424999999999</v>
      </c>
      <c r="E35" s="2">
        <f>1.1274717</f>
        <v>1.1274717000000001</v>
      </c>
      <c r="F35" s="2"/>
      <c r="G35" s="2">
        <f>39.857212</f>
        <v>39.857211999999997</v>
      </c>
      <c r="H35" s="2"/>
      <c r="I35" s="2">
        <f>56.14248</f>
        <v>56.142479999999999</v>
      </c>
      <c r="J35" s="2"/>
      <c r="K35" s="2">
        <f>117.2551</f>
        <v>117.2551</v>
      </c>
      <c r="L35" s="5"/>
      <c r="M35" s="6">
        <v>1.2402782000000001</v>
      </c>
      <c r="N35" s="2"/>
      <c r="O35" s="2">
        <f>34.69697</f>
        <v>34.69697</v>
      </c>
      <c r="P35" s="2">
        <f>13.623037</f>
        <v>13.623037</v>
      </c>
    </row>
    <row r="36" spans="1:16" ht="17">
      <c r="A36" s="1" t="str">
        <f t="shared" si="2"/>
        <v>2020/05/06</v>
      </c>
      <c r="B36" s="1" t="str">
        <f>"08:00"</f>
        <v>08:00</v>
      </c>
      <c r="C36" s="2"/>
      <c r="D36" s="2">
        <f>1.0883799</f>
        <v>1.0883799000000001</v>
      </c>
      <c r="E36" s="2">
        <f>1.2759475</f>
        <v>1.2759475</v>
      </c>
      <c r="F36" s="2"/>
      <c r="G36" s="2">
        <f>42.988213</f>
        <v>42.988213000000002</v>
      </c>
      <c r="H36" s="2"/>
      <c r="I36" s="2">
        <f>72.01135</f>
        <v>72.011349999999993</v>
      </c>
      <c r="J36" s="2"/>
      <c r="K36" s="2">
        <f>132.9878</f>
        <v>132.98779999999999</v>
      </c>
      <c r="L36" s="5"/>
      <c r="M36" s="6">
        <v>1.3846525000000001</v>
      </c>
      <c r="N36" s="2"/>
      <c r="O36" s="2">
        <f>29.140598</f>
        <v>29.140598000000001</v>
      </c>
      <c r="P36" s="2">
        <f>27.839676</f>
        <v>27.839676000000001</v>
      </c>
    </row>
    <row r="37" spans="1:16" ht="17">
      <c r="A37" s="1" t="str">
        <f t="shared" si="2"/>
        <v>2020/05/06</v>
      </c>
      <c r="B37" s="1" t="str">
        <f>"09:00"</f>
        <v>09:00</v>
      </c>
      <c r="C37" s="2"/>
      <c r="D37" s="2">
        <f>1.1134253</f>
        <v>1.1134253000000001</v>
      </c>
      <c r="E37" s="2">
        <f>1.1820135</f>
        <v>1.1820135000000001</v>
      </c>
      <c r="F37" s="2"/>
      <c r="G37" s="2">
        <f>24.177582</f>
        <v>24.177582000000001</v>
      </c>
      <c r="H37" s="2"/>
      <c r="I37" s="2">
        <f>38.334152</f>
        <v>38.334152000000003</v>
      </c>
      <c r="J37" s="2"/>
      <c r="K37" s="2">
        <f>67.09111</f>
        <v>67.09111</v>
      </c>
      <c r="L37" s="5"/>
      <c r="M37" s="6">
        <v>1.1610255</v>
      </c>
      <c r="N37" s="2"/>
      <c r="O37" s="2">
        <f>26.806215</f>
        <v>26.806215000000002</v>
      </c>
      <c r="P37" s="2">
        <f>41.092205</f>
        <v>41.092205</v>
      </c>
    </row>
    <row r="38" spans="1:16" ht="17">
      <c r="A38" s="1" t="str">
        <f t="shared" si="2"/>
        <v>2020/05/06</v>
      </c>
      <c r="B38" s="1" t="str">
        <f>"10:00"</f>
        <v>10:00</v>
      </c>
      <c r="C38" s="2"/>
      <c r="D38" s="2">
        <f>1.1234043</f>
        <v>1.1234043</v>
      </c>
      <c r="E38" s="2">
        <f>1.0527294</f>
        <v>1.0527294</v>
      </c>
      <c r="F38" s="2"/>
      <c r="G38" s="2">
        <f>13.667828</f>
        <v>13.667828</v>
      </c>
      <c r="H38" s="2"/>
      <c r="I38" s="2">
        <f>27.04478</f>
        <v>27.044779999999999</v>
      </c>
      <c r="J38" s="2"/>
      <c r="K38" s="2">
        <f>44.60717</f>
        <v>44.607170000000004</v>
      </c>
      <c r="L38" s="5"/>
      <c r="M38" s="6">
        <v>0.94949454</v>
      </c>
      <c r="N38" s="2"/>
      <c r="O38" s="2">
        <f>28.208586</f>
        <v>28.208586</v>
      </c>
      <c r="P38" s="2">
        <f>68.212715</f>
        <v>68.212715000000003</v>
      </c>
    </row>
    <row r="39" spans="1:16" ht="17">
      <c r="A39" s="1" t="str">
        <f t="shared" si="2"/>
        <v>2020/05/06</v>
      </c>
      <c r="B39" s="1" t="str">
        <f>"11:00"</f>
        <v>11:00</v>
      </c>
      <c r="C39" s="2"/>
      <c r="D39" s="2">
        <f>1.125095</f>
        <v>1.125095</v>
      </c>
      <c r="E39" s="2">
        <f>1.0281669</f>
        <v>1.0281669</v>
      </c>
      <c r="F39" s="2"/>
      <c r="G39" s="2">
        <f>20.30667</f>
        <v>20.30667</v>
      </c>
      <c r="H39" s="2"/>
      <c r="I39" s="2">
        <f>30.670034</f>
        <v>30.670034000000001</v>
      </c>
      <c r="J39" s="2"/>
      <c r="K39" s="2">
        <f>57.853397</f>
        <v>57.853397000000001</v>
      </c>
      <c r="L39" s="5"/>
      <c r="M39" s="6">
        <v>1.049741</v>
      </c>
      <c r="N39" s="2"/>
      <c r="O39" s="2">
        <f>32.139206</f>
        <v>32.139206000000001</v>
      </c>
      <c r="P39" s="2">
        <f>73.50449</f>
        <v>73.504490000000004</v>
      </c>
    </row>
    <row r="40" spans="1:16" ht="17">
      <c r="A40" s="1" t="str">
        <f t="shared" si="2"/>
        <v>2020/05/06</v>
      </c>
      <c r="B40" s="1" t="str">
        <f>"12:00"</f>
        <v>12:00</v>
      </c>
      <c r="C40" s="2"/>
      <c r="D40" s="2">
        <f>1.1160684</f>
        <v>1.1160684000000001</v>
      </c>
      <c r="E40" s="2">
        <f>0.9934771</f>
        <v>0.9934771</v>
      </c>
      <c r="F40" s="2"/>
      <c r="G40" s="2">
        <f>31.540987</f>
        <v>31.540987000000001</v>
      </c>
      <c r="H40" s="2"/>
      <c r="I40" s="2">
        <f>29.886566</f>
        <v>29.886565999999998</v>
      </c>
      <c r="J40" s="2"/>
      <c r="K40" s="2">
        <f>54.762814</f>
        <v>54.762813999999999</v>
      </c>
      <c r="L40" s="5"/>
      <c r="M40" s="6">
        <v>1.0238822999999999</v>
      </c>
      <c r="N40" s="2"/>
      <c r="O40" s="2">
        <f>41.840836</f>
        <v>41.840836000000003</v>
      </c>
      <c r="P40" s="2">
        <f>84.500885</f>
        <v>84.500884999999997</v>
      </c>
    </row>
    <row r="41" spans="1:16" ht="17">
      <c r="A41" s="1" t="str">
        <f t="shared" si="2"/>
        <v>2020/05/06</v>
      </c>
      <c r="B41" s="1" t="str">
        <f>"13:00"</f>
        <v>13:00</v>
      </c>
      <c r="C41" s="2"/>
      <c r="D41" s="2">
        <f>1.0870049</f>
        <v>1.0870048999999999</v>
      </c>
      <c r="E41" s="2">
        <f>0.9720869</f>
        <v>0.97208689999999998</v>
      </c>
      <c r="F41" s="2"/>
      <c r="G41" s="2">
        <f>6.5176973</f>
        <v>6.5176973</v>
      </c>
      <c r="H41" s="2"/>
      <c r="I41" s="2">
        <f>21.251362</f>
        <v>21.251362</v>
      </c>
      <c r="J41" s="2"/>
      <c r="K41" s="2">
        <f>29.594313</f>
        <v>29.594313</v>
      </c>
      <c r="L41" s="5"/>
      <c r="M41" s="6">
        <v>0.82106005999999998</v>
      </c>
      <c r="N41" s="2"/>
      <c r="O41" s="2">
        <f>52.18424</f>
        <v>52.184240000000003</v>
      </c>
      <c r="P41" s="2">
        <f>92.29304</f>
        <v>92.293040000000005</v>
      </c>
    </row>
    <row r="42" spans="1:16" ht="17">
      <c r="A42" s="1" t="str">
        <f t="shared" si="2"/>
        <v>2020/05/06</v>
      </c>
      <c r="B42" s="1" t="str">
        <f>"14:00"</f>
        <v>14:00</v>
      </c>
      <c r="C42" s="2"/>
      <c r="D42" s="2">
        <f>1.0757614</f>
        <v>1.0757614</v>
      </c>
      <c r="E42" s="2">
        <f>0.97419834</f>
        <v>0.97419834000000005</v>
      </c>
      <c r="F42" s="2"/>
      <c r="G42" s="2">
        <f>7.7627</f>
        <v>7.7626999999999997</v>
      </c>
      <c r="H42" s="2"/>
      <c r="I42" s="2">
        <f>11.950796</f>
        <v>11.950796</v>
      </c>
      <c r="J42" s="2"/>
      <c r="K42" s="2">
        <f>18.513762</f>
        <v>18.513762</v>
      </c>
      <c r="L42" s="5"/>
      <c r="M42" s="6">
        <v>0.78945449999999995</v>
      </c>
      <c r="N42" s="2"/>
      <c r="O42" s="2">
        <f>62.616566</f>
        <v>62.616565999999999</v>
      </c>
      <c r="P42" s="2">
        <f>99.86647</f>
        <v>99.866470000000007</v>
      </c>
    </row>
    <row r="43" spans="1:16" ht="17">
      <c r="A43" s="1" t="str">
        <f t="shared" si="2"/>
        <v>2020/05/06</v>
      </c>
      <c r="B43" s="1" t="str">
        <f>"15:00"</f>
        <v>15:00</v>
      </c>
      <c r="C43" s="2"/>
      <c r="D43" s="2">
        <f>1.0626034</f>
        <v>1.0626034</v>
      </c>
      <c r="E43" s="2">
        <f>1.022207</f>
        <v>1.0222070000000001</v>
      </c>
      <c r="F43" s="2"/>
      <c r="G43" s="2">
        <f>3.7254305</f>
        <v>3.7254304999999999</v>
      </c>
      <c r="H43" s="2"/>
      <c r="I43" s="2">
        <f>14.139861</f>
        <v>14.139861</v>
      </c>
      <c r="J43" s="2"/>
      <c r="K43" s="2">
        <f>18.733149</f>
        <v>18.733149000000001</v>
      </c>
      <c r="L43" s="5"/>
      <c r="M43" s="6">
        <v>0.74272835000000004</v>
      </c>
      <c r="N43" s="2"/>
      <c r="O43" s="2">
        <f>74.553535</f>
        <v>74.553534999999997</v>
      </c>
      <c r="P43" s="2">
        <f>109.11882</f>
        <v>109.11882</v>
      </c>
    </row>
    <row r="44" spans="1:16" ht="17">
      <c r="A44" s="1" t="str">
        <f t="shared" si="2"/>
        <v>2020/05/06</v>
      </c>
      <c r="B44" s="1" t="str">
        <f>"16:00"</f>
        <v>16:00</v>
      </c>
      <c r="C44" s="2"/>
      <c r="D44" s="2">
        <f>1.0277731</f>
        <v>1.0277731000000001</v>
      </c>
      <c r="E44" s="2">
        <f>0.9973057</f>
        <v>0.99730569999999996</v>
      </c>
      <c r="F44" s="2"/>
      <c r="G44" s="2">
        <f>5.2781606</f>
        <v>5.2781605999999996</v>
      </c>
      <c r="H44" s="2"/>
      <c r="I44" s="2">
        <f>9.024202</f>
        <v>9.0242020000000007</v>
      </c>
      <c r="J44" s="2"/>
      <c r="K44" s="2">
        <f>13.288418</f>
        <v>13.288418</v>
      </c>
      <c r="L44" s="5"/>
      <c r="M44" s="6">
        <v>0.91013619999999995</v>
      </c>
      <c r="N44" s="2"/>
      <c r="O44" s="2">
        <f>83.323616</f>
        <v>83.323616000000001</v>
      </c>
      <c r="P44" s="2">
        <f>98.00032</f>
        <v>98.000320000000002</v>
      </c>
    </row>
    <row r="45" spans="1:16" ht="17">
      <c r="A45" s="1" t="str">
        <f t="shared" si="2"/>
        <v>2020/05/06</v>
      </c>
      <c r="B45" s="1" t="str">
        <f>"17:00"</f>
        <v>17:00</v>
      </c>
      <c r="C45" s="2"/>
      <c r="D45" s="2">
        <f>1.0034304</f>
        <v>1.0034304000000001</v>
      </c>
      <c r="E45" s="2">
        <f>0.9872713</f>
        <v>0.98727129999999996</v>
      </c>
      <c r="F45" s="2"/>
      <c r="G45" s="2">
        <f>4.973933</f>
        <v>4.9739329999999997</v>
      </c>
      <c r="H45" s="2"/>
      <c r="I45" s="2">
        <f>8.1003065</f>
        <v>8.1003065000000003</v>
      </c>
      <c r="J45" s="2"/>
      <c r="K45" s="2">
        <f>13.258581</f>
        <v>13.258581</v>
      </c>
      <c r="L45" s="5"/>
      <c r="M45" s="6">
        <v>0.83218460000000005</v>
      </c>
      <c r="N45" s="2"/>
      <c r="O45" s="2">
        <f>88.846436</f>
        <v>88.846435999999997</v>
      </c>
      <c r="P45" s="2">
        <f>85.27471</f>
        <v>85.274709999999999</v>
      </c>
    </row>
    <row r="46" spans="1:16" ht="17">
      <c r="A46" s="1" t="str">
        <f t="shared" si="2"/>
        <v>2020/05/06</v>
      </c>
      <c r="B46" s="1" t="str">
        <f>"18:00"</f>
        <v>18:00</v>
      </c>
      <c r="C46" s="2"/>
      <c r="D46" s="2">
        <f>0.99564344</f>
        <v>0.99564344000000005</v>
      </c>
      <c r="E46" s="2">
        <f>0.9904342</f>
        <v>0.99043420000000004</v>
      </c>
      <c r="F46" s="2"/>
      <c r="G46" s="2">
        <f>4.616855</f>
        <v>4.6168550000000002</v>
      </c>
      <c r="H46" s="2"/>
      <c r="I46" s="2">
        <f>5.1867323</f>
        <v>5.1867323000000001</v>
      </c>
      <c r="J46" s="2"/>
      <c r="K46" s="2">
        <f>11.504542</f>
        <v>11.504542000000001</v>
      </c>
      <c r="L46" s="5"/>
      <c r="M46" s="6">
        <v>0.77248675</v>
      </c>
      <c r="N46" s="2"/>
      <c r="O46" s="2">
        <f>91.097916</f>
        <v>91.097915999999998</v>
      </c>
      <c r="P46" s="2">
        <f>86.224556</f>
        <v>86.224556000000007</v>
      </c>
    </row>
    <row r="47" spans="1:16" ht="17">
      <c r="A47" s="1" t="str">
        <f t="shared" si="2"/>
        <v>2020/05/06</v>
      </c>
      <c r="B47" s="1" t="str">
        <f>"19:00"</f>
        <v>19:00</v>
      </c>
      <c r="C47" s="2"/>
      <c r="D47" s="2">
        <f>0.9881001</f>
        <v>0.98810010000000004</v>
      </c>
      <c r="E47" s="2">
        <f>0.9678204</f>
        <v>0.96782040000000003</v>
      </c>
      <c r="F47" s="2"/>
      <c r="G47" s="2">
        <f>2.7675717</f>
        <v>2.7675717</v>
      </c>
      <c r="H47" s="2"/>
      <c r="I47" s="2">
        <f>6.079745</f>
        <v>6.079745</v>
      </c>
      <c r="J47" s="2"/>
      <c r="K47" s="2">
        <f>10.284451</f>
        <v>10.284451000000001</v>
      </c>
      <c r="L47" s="5"/>
      <c r="M47" s="6">
        <v>0.92275119999999999</v>
      </c>
      <c r="N47" s="2"/>
      <c r="O47" s="2">
        <f>92.40426</f>
        <v>92.404259999999994</v>
      </c>
      <c r="P47" s="2">
        <f>83.95527</f>
        <v>83.955269999999999</v>
      </c>
    </row>
    <row r="48" spans="1:16" ht="17">
      <c r="A48" s="1" t="str">
        <f t="shared" si="2"/>
        <v>2020/05/06</v>
      </c>
      <c r="B48" s="1" t="str">
        <f>"20:00"</f>
        <v>20:00</v>
      </c>
      <c r="C48" s="2"/>
      <c r="D48" s="2">
        <f>0.9870846</f>
        <v>0.98708459999999998</v>
      </c>
      <c r="E48" s="2">
        <f>0.98535323</f>
        <v>0.98535322999999997</v>
      </c>
      <c r="F48" s="2"/>
      <c r="G48" s="2">
        <f>4.0279946</f>
        <v>4.0279946000000004</v>
      </c>
      <c r="H48" s="2"/>
      <c r="I48" s="2">
        <f>8.05841</f>
        <v>8.0584100000000003</v>
      </c>
      <c r="J48" s="2"/>
      <c r="K48" s="2">
        <f>13.896278</f>
        <v>13.896278000000001</v>
      </c>
      <c r="L48" s="5"/>
      <c r="M48" s="6">
        <v>0.94323159999999995</v>
      </c>
      <c r="N48" s="2"/>
      <c r="O48" s="2">
        <f>91.96294</f>
        <v>91.962940000000003</v>
      </c>
      <c r="P48" s="2">
        <f>80.970276</f>
        <v>80.970275999999998</v>
      </c>
    </row>
    <row r="49" spans="1:16" ht="17">
      <c r="A49" s="1" t="str">
        <f t="shared" si="2"/>
        <v>2020/05/06</v>
      </c>
      <c r="B49" s="1" t="str">
        <f>"21:00"</f>
        <v>21:00</v>
      </c>
      <c r="C49" s="2"/>
      <c r="D49" s="2">
        <f>0.98728013</f>
        <v>0.98728013000000003</v>
      </c>
      <c r="E49" s="2">
        <f>0.97365093</f>
        <v>0.97365093000000003</v>
      </c>
      <c r="F49" s="2"/>
      <c r="G49" s="2">
        <f>13.208547</f>
        <v>13.208546999999999</v>
      </c>
      <c r="H49" s="2"/>
      <c r="I49" s="2">
        <f>16.664745</f>
        <v>16.664745</v>
      </c>
      <c r="J49" s="2"/>
      <c r="K49" s="2">
        <f>35.932007</f>
        <v>35.932006999999999</v>
      </c>
      <c r="L49" s="5"/>
      <c r="M49" s="6">
        <v>1.0077989999999999</v>
      </c>
      <c r="N49" s="2"/>
      <c r="O49" s="2">
        <f>90.03925</f>
        <v>90.039249999999996</v>
      </c>
      <c r="P49" s="2">
        <f>76.903625</f>
        <v>76.903625000000005</v>
      </c>
    </row>
    <row r="50" spans="1:16" ht="17">
      <c r="A50" s="1" t="str">
        <f t="shared" si="2"/>
        <v>2020/05/06</v>
      </c>
      <c r="B50" s="1" t="str">
        <f>"22:00"</f>
        <v>22:00</v>
      </c>
      <c r="C50" s="2"/>
      <c r="D50" s="2">
        <f>0.98421246</f>
        <v>0.98421245999999996</v>
      </c>
      <c r="E50" s="2">
        <f>0.94965667</f>
        <v>0.94965666999999998</v>
      </c>
      <c r="F50" s="2"/>
      <c r="G50" s="2">
        <f>1.058767</f>
        <v>1.058767</v>
      </c>
      <c r="H50" s="2"/>
      <c r="I50" s="2">
        <f>3.5268064</f>
        <v>3.5268063999999999</v>
      </c>
      <c r="J50" s="2"/>
      <c r="K50" s="2">
        <f>5.1196413</f>
        <v>5.1196412999999996</v>
      </c>
      <c r="L50" s="5"/>
      <c r="M50" s="6">
        <v>0.89215049999999996</v>
      </c>
      <c r="N50" s="2"/>
      <c r="O50" s="2">
        <f>88.414925</f>
        <v>88.414924999999997</v>
      </c>
      <c r="P50" s="2">
        <f>86.871796</f>
        <v>86.871796000000003</v>
      </c>
    </row>
    <row r="51" spans="1:16" ht="17">
      <c r="A51" s="1" t="str">
        <f t="shared" si="2"/>
        <v>2020/05/06</v>
      </c>
      <c r="B51" s="1" t="str">
        <f>"23:00"</f>
        <v>23:00</v>
      </c>
      <c r="C51" s="2"/>
      <c r="D51" s="2">
        <f>0.977592</f>
        <v>0.97759200000000002</v>
      </c>
      <c r="E51" s="2">
        <f>0.9692436</f>
        <v>0.96924359999999998</v>
      </c>
      <c r="F51" s="2"/>
      <c r="G51" s="2">
        <f>1.475061</f>
        <v>1.475061</v>
      </c>
      <c r="H51" s="2"/>
      <c r="I51" s="2">
        <f>8.735987</f>
        <v>8.7359869999999997</v>
      </c>
      <c r="J51" s="2"/>
      <c r="K51" s="2">
        <f>10.77776</f>
        <v>10.777760000000001</v>
      </c>
      <c r="L51" s="5"/>
      <c r="M51" s="6">
        <v>0.70313040000000004</v>
      </c>
      <c r="N51" s="2"/>
      <c r="O51" s="2">
        <f>83.928085</f>
        <v>83.928084999999996</v>
      </c>
      <c r="P51" s="2">
        <f>73.22412</f>
        <v>73.224119999999999</v>
      </c>
    </row>
    <row r="52" spans="1:16" ht="17">
      <c r="A52" s="1" t="str">
        <f t="shared" si="2"/>
        <v>2020/05/06</v>
      </c>
      <c r="B52" s="1" t="str">
        <f>"24:00"</f>
        <v>24:00</v>
      </c>
      <c r="C52" s="2"/>
      <c r="D52" s="2">
        <f>0.9725169</f>
        <v>0.97251690000000002</v>
      </c>
      <c r="E52" s="2">
        <f>0.956705</f>
        <v>0.95670500000000003</v>
      </c>
      <c r="F52" s="2"/>
      <c r="G52" s="2">
        <f>4.7113247</f>
        <v>4.7113246999999996</v>
      </c>
      <c r="H52" s="2"/>
      <c r="I52" s="2">
        <f>13.72999</f>
        <v>13.729990000000001</v>
      </c>
      <c r="J52" s="2"/>
      <c r="K52" s="2">
        <f>20.953865</f>
        <v>20.953865</v>
      </c>
      <c r="L52" s="5"/>
      <c r="M52" s="6">
        <v>0.75749003999999998</v>
      </c>
      <c r="N52" s="2"/>
      <c r="O52" s="2">
        <f>80.99348</f>
        <v>80.993480000000005</v>
      </c>
      <c r="P52" s="2">
        <f>74.523445</f>
        <v>74.523444999999995</v>
      </c>
    </row>
    <row r="53" spans="1:16" ht="17">
      <c r="A53" s="1" t="str">
        <f t="shared" ref="A53:A76" si="3">"2020/05/07"</f>
        <v>2020/05/07</v>
      </c>
      <c r="B53" s="1" t="str">
        <f>"01:00"</f>
        <v>01:00</v>
      </c>
      <c r="C53" s="2">
        <f>0.9387808</f>
        <v>0.93878079999999997</v>
      </c>
      <c r="D53" s="2">
        <f>0.968816</f>
        <v>0.96881600000000001</v>
      </c>
      <c r="E53" s="2">
        <f>0.9576638</f>
        <v>0.95766379999999995</v>
      </c>
      <c r="F53" s="2">
        <f>6.955275</f>
        <v>6.9552750000000003</v>
      </c>
      <c r="G53" s="2">
        <f>17.366825</f>
        <v>17.366824999999999</v>
      </c>
      <c r="H53" s="2">
        <f>13.189475</f>
        <v>13.189475</v>
      </c>
      <c r="I53" s="2">
        <f>24.02721</f>
        <v>24.02721</v>
      </c>
      <c r="J53" s="2">
        <f>21.767538</f>
        <v>21.767537999999998</v>
      </c>
      <c r="K53" s="2">
        <f>50.099022</f>
        <v>50.099021999999998</v>
      </c>
      <c r="L53" s="5">
        <v>0.86012809999999995</v>
      </c>
      <c r="M53" s="6">
        <v>0.76301540000000001</v>
      </c>
      <c r="N53" s="2">
        <f>88.49113</f>
        <v>88.491129999999998</v>
      </c>
      <c r="O53" s="2">
        <f>79.347664</f>
        <v>79.347663999999995</v>
      </c>
      <c r="P53" s="2">
        <f>72.108246</f>
        <v>72.108245999999994</v>
      </c>
    </row>
    <row r="54" spans="1:16" ht="17">
      <c r="A54" s="1" t="str">
        <f t="shared" si="3"/>
        <v>2020/05/07</v>
      </c>
      <c r="B54" s="1" t="str">
        <f>"02:00"</f>
        <v>02:00</v>
      </c>
      <c r="C54" s="2"/>
      <c r="D54" s="2">
        <f>0.96454394</f>
        <v>0.96454393999999999</v>
      </c>
      <c r="E54" s="2">
        <f>0.9562578</f>
        <v>0.95625780000000005</v>
      </c>
      <c r="F54" s="2"/>
      <c r="G54" s="2">
        <f>14.87295</f>
        <v>14.872949999999999</v>
      </c>
      <c r="H54" s="2"/>
      <c r="I54" s="2">
        <f>24.685783</f>
        <v>24.685783000000001</v>
      </c>
      <c r="J54" s="2"/>
      <c r="K54" s="2">
        <f>46.977108</f>
        <v>46.977108000000001</v>
      </c>
      <c r="L54" s="5"/>
      <c r="M54" s="6">
        <v>0.83919980000000005</v>
      </c>
      <c r="N54" s="2"/>
      <c r="O54" s="2">
        <f>77.54714</f>
        <v>77.547139999999999</v>
      </c>
      <c r="P54" s="2">
        <f>71.82036</f>
        <v>71.820359999999994</v>
      </c>
    </row>
    <row r="55" spans="1:16" ht="17">
      <c r="A55" s="1" t="str">
        <f t="shared" si="3"/>
        <v>2020/05/07</v>
      </c>
      <c r="B55" s="1" t="str">
        <f>"03:00"</f>
        <v>03:00</v>
      </c>
      <c r="C55" s="2"/>
      <c r="D55" s="2">
        <f>0.96222544</f>
        <v>0.96222543999999999</v>
      </c>
      <c r="E55" s="2">
        <f>0.9492727</f>
        <v>0.94927269999999997</v>
      </c>
      <c r="F55" s="2"/>
      <c r="G55" s="2">
        <f>2.2757514</f>
        <v>2.2757513999999999</v>
      </c>
      <c r="H55" s="2"/>
      <c r="I55" s="2">
        <f>9.159367</f>
        <v>9.1593669999999996</v>
      </c>
      <c r="J55" s="2"/>
      <c r="K55" s="2">
        <f>12.648598</f>
        <v>12.648598</v>
      </c>
      <c r="L55" s="5"/>
      <c r="M55" s="6">
        <v>0.68341960000000002</v>
      </c>
      <c r="N55" s="2"/>
      <c r="O55" s="2">
        <f>74.9087</f>
        <v>74.908699999999996</v>
      </c>
      <c r="P55" s="2">
        <f>62.847713</f>
        <v>62.847712999999999</v>
      </c>
    </row>
    <row r="56" spans="1:16" ht="17">
      <c r="A56" s="1" t="str">
        <f t="shared" si="3"/>
        <v>2020/05/07</v>
      </c>
      <c r="B56" s="1" t="str">
        <f>"04:00"</f>
        <v>04:00</v>
      </c>
      <c r="C56" s="2"/>
      <c r="D56" s="2">
        <f>0.95759743</f>
        <v>0.95759742999999997</v>
      </c>
      <c r="E56" s="2">
        <f>0.9483292</f>
        <v>0.94832919999999998</v>
      </c>
      <c r="F56" s="2"/>
      <c r="G56" s="2">
        <f>0.89815426</f>
        <v>0.89815425999999998</v>
      </c>
      <c r="H56" s="2"/>
      <c r="I56" s="2">
        <f>6.5717993</f>
        <v>6.5717993000000003</v>
      </c>
      <c r="J56" s="2"/>
      <c r="K56" s="2">
        <f>7.9489403</f>
        <v>7.9489403000000003</v>
      </c>
      <c r="L56" s="5"/>
      <c r="M56" s="6">
        <v>0.68705386000000002</v>
      </c>
      <c r="N56" s="2"/>
      <c r="O56" s="2">
        <f>72.34427</f>
        <v>72.344269999999995</v>
      </c>
      <c r="P56" s="2">
        <f>60.454857</f>
        <v>60.454856999999997</v>
      </c>
    </row>
    <row r="57" spans="1:16" ht="17">
      <c r="A57" s="1" t="str">
        <f t="shared" si="3"/>
        <v>2020/05/07</v>
      </c>
      <c r="B57" s="1" t="str">
        <f>"05:00"</f>
        <v>05:00</v>
      </c>
      <c r="C57" s="2"/>
      <c r="D57" s="2">
        <f>0.9536535</f>
        <v>0.95365350000000004</v>
      </c>
      <c r="E57" s="2">
        <f>0.9420992</f>
        <v>0.94209920000000003</v>
      </c>
      <c r="F57" s="2"/>
      <c r="G57" s="2">
        <f>3.138492</f>
        <v>3.1384919999999998</v>
      </c>
      <c r="H57" s="2"/>
      <c r="I57" s="2">
        <f>10.628967</f>
        <v>10.628966999999999</v>
      </c>
      <c r="J57" s="2"/>
      <c r="K57" s="2">
        <f>15.441046</f>
        <v>15.441046</v>
      </c>
      <c r="L57" s="5"/>
      <c r="M57" s="6">
        <v>0.60802270000000003</v>
      </c>
      <c r="N57" s="2"/>
      <c r="O57" s="2">
        <f>69.26863</f>
        <v>69.268630000000002</v>
      </c>
      <c r="P57" s="2">
        <f>52.29851</f>
        <v>52.29851</v>
      </c>
    </row>
    <row r="58" spans="1:16" ht="17">
      <c r="A58" s="1" t="str">
        <f t="shared" si="3"/>
        <v>2020/05/07</v>
      </c>
      <c r="B58" s="1" t="str">
        <f>"06:00"</f>
        <v>06:00</v>
      </c>
      <c r="C58" s="2"/>
      <c r="D58" s="2">
        <f>0.95263314</f>
        <v>0.95263313999999999</v>
      </c>
      <c r="E58" s="2">
        <f>0.941494</f>
        <v>0.94149400000000005</v>
      </c>
      <c r="F58" s="2"/>
      <c r="G58" s="2">
        <f>18.697105</f>
        <v>18.697105000000001</v>
      </c>
      <c r="H58" s="2"/>
      <c r="I58" s="2">
        <f>28.108353</f>
        <v>28.108353000000001</v>
      </c>
      <c r="J58" s="2"/>
      <c r="K58" s="2">
        <f>56.7626</f>
        <v>56.762599999999999</v>
      </c>
      <c r="L58" s="5"/>
      <c r="M58" s="6">
        <v>1.1107750999999999</v>
      </c>
      <c r="N58" s="2"/>
      <c r="O58" s="2">
        <f>67.82215</f>
        <v>67.822149999999993</v>
      </c>
      <c r="P58" s="2">
        <f>75.29997</f>
        <v>75.299970000000002</v>
      </c>
    </row>
    <row r="59" spans="1:16" ht="17">
      <c r="A59" s="1" t="str">
        <f t="shared" si="3"/>
        <v>2020/05/07</v>
      </c>
      <c r="B59" s="1" t="str">
        <f>"07:00"</f>
        <v>07:00</v>
      </c>
      <c r="C59" s="2"/>
      <c r="D59" s="2">
        <f>0.953907</f>
        <v>0.95390699999999995</v>
      </c>
      <c r="E59" s="2">
        <f>0.9794346</f>
        <v>0.97943460000000004</v>
      </c>
      <c r="F59" s="2"/>
      <c r="G59" s="2">
        <f>18.435575</f>
        <v>18.435575</v>
      </c>
      <c r="H59" s="2"/>
      <c r="I59" s="2">
        <f>29.760307</f>
        <v>29.760307000000001</v>
      </c>
      <c r="J59" s="2"/>
      <c r="K59" s="2">
        <f>57.999744</f>
        <v>57.999744</v>
      </c>
      <c r="L59" s="5"/>
      <c r="M59" s="6">
        <v>1.204431</v>
      </c>
      <c r="N59" s="2"/>
      <c r="O59" s="2">
        <f>68.59345</f>
        <v>68.593450000000004</v>
      </c>
      <c r="P59" s="2">
        <f>79.39451</f>
        <v>79.394509999999997</v>
      </c>
    </row>
    <row r="60" spans="1:16" ht="17">
      <c r="A60" s="1" t="str">
        <f t="shared" si="3"/>
        <v>2020/05/07</v>
      </c>
      <c r="B60" s="1" t="str">
        <f>"08:00"</f>
        <v>08:00</v>
      </c>
      <c r="C60" s="2"/>
      <c r="D60" s="2">
        <f>0.9526411</f>
        <v>0.95264110000000002</v>
      </c>
      <c r="E60" s="2">
        <f>0.94657755</f>
        <v>0.94657754999999999</v>
      </c>
      <c r="F60" s="2"/>
      <c r="G60" s="2">
        <f>9.63662</f>
        <v>9.6366200000000006</v>
      </c>
      <c r="H60" s="2"/>
      <c r="I60" s="2">
        <f>12.390564</f>
        <v>12.390563999999999</v>
      </c>
      <c r="J60" s="2"/>
      <c r="K60" s="2">
        <f>24.23528</f>
        <v>24.235279999999999</v>
      </c>
      <c r="L60" s="5"/>
      <c r="M60" s="6">
        <v>0.91233370000000003</v>
      </c>
      <c r="N60" s="2"/>
      <c r="O60" s="2">
        <f>70.65318</f>
        <v>70.653180000000006</v>
      </c>
      <c r="P60" s="2">
        <f>91.001305</f>
        <v>91.001305000000002</v>
      </c>
    </row>
    <row r="61" spans="1:16" ht="17">
      <c r="A61" s="1" t="str">
        <f t="shared" si="3"/>
        <v>2020/05/07</v>
      </c>
      <c r="B61" s="1" t="str">
        <f>"09:00"</f>
        <v>09:00</v>
      </c>
      <c r="C61" s="2"/>
      <c r="D61" s="2">
        <f>0.94846344</f>
        <v>0.94846344000000005</v>
      </c>
      <c r="E61" s="2">
        <f>0.9242422</f>
        <v>0.92424220000000001</v>
      </c>
      <c r="F61" s="2"/>
      <c r="G61" s="2">
        <f>5.752909</f>
        <v>5.7529089999999998</v>
      </c>
      <c r="H61" s="2"/>
      <c r="I61" s="2">
        <f>8.17432</f>
        <v>8.1743199999999998</v>
      </c>
      <c r="J61" s="2"/>
      <c r="K61" s="2">
        <f>13.581081</f>
        <v>13.581080999999999</v>
      </c>
      <c r="L61" s="5"/>
      <c r="M61" s="6">
        <v>0.78638595</v>
      </c>
      <c r="N61" s="2"/>
      <c r="O61" s="2">
        <f>73.49174</f>
        <v>73.491739999999993</v>
      </c>
      <c r="P61" s="2">
        <f>94.81665</f>
        <v>94.816649999999996</v>
      </c>
    </row>
    <row r="62" spans="1:16" ht="17">
      <c r="A62" s="1" t="str">
        <f t="shared" si="3"/>
        <v>2020/05/07</v>
      </c>
      <c r="B62" s="1" t="str">
        <f>"10:00"</f>
        <v>10:00</v>
      </c>
      <c r="C62" s="2"/>
      <c r="D62" s="2">
        <f>0.9468283</f>
        <v>0.94682829999999996</v>
      </c>
      <c r="E62" s="2">
        <f>0.9431771</f>
        <v>0.94317709999999999</v>
      </c>
      <c r="F62" s="2"/>
      <c r="G62" s="2">
        <f>5.341262</f>
        <v>5.3412620000000004</v>
      </c>
      <c r="H62" s="2"/>
      <c r="I62" s="2">
        <f>11.177248</f>
        <v>11.177248000000001</v>
      </c>
      <c r="J62" s="2"/>
      <c r="K62" s="2">
        <f>18.490376</f>
        <v>18.490376000000001</v>
      </c>
      <c r="L62" s="5"/>
      <c r="M62" s="6">
        <v>1.0278338</v>
      </c>
      <c r="N62" s="2"/>
      <c r="O62" s="2">
        <f>76.10721</f>
        <v>76.107209999999995</v>
      </c>
      <c r="P62" s="2">
        <f>92.74416</f>
        <v>92.744159999999994</v>
      </c>
    </row>
    <row r="63" spans="1:16" ht="17">
      <c r="A63" s="1" t="str">
        <f t="shared" si="3"/>
        <v>2020/05/07</v>
      </c>
      <c r="B63" s="1" t="str">
        <f>"11:00"</f>
        <v>11:00</v>
      </c>
      <c r="C63" s="2"/>
      <c r="D63" s="2">
        <f>0.9467711</f>
        <v>0.94677109999999998</v>
      </c>
      <c r="E63" s="2">
        <f>0.9488147</f>
        <v>0.94881470000000001</v>
      </c>
      <c r="F63" s="2"/>
      <c r="G63" s="2">
        <f>13.438459</f>
        <v>13.438459</v>
      </c>
      <c r="H63" s="2"/>
      <c r="I63" s="2">
        <f>18.725445</f>
        <v>18.725445000000001</v>
      </c>
      <c r="J63" s="2"/>
      <c r="K63" s="2">
        <f>32.070198</f>
        <v>32.070197999999998</v>
      </c>
      <c r="L63" s="5"/>
      <c r="M63" s="6">
        <v>0.98217620000000005</v>
      </c>
      <c r="N63" s="2"/>
      <c r="O63" s="2">
        <f>79.98846</f>
        <v>79.988460000000003</v>
      </c>
      <c r="P63" s="2">
        <f>93.8977</f>
        <v>93.8977</v>
      </c>
    </row>
    <row r="64" spans="1:16" ht="17">
      <c r="A64" s="1" t="str">
        <f t="shared" si="3"/>
        <v>2020/05/07</v>
      </c>
      <c r="B64" s="1" t="str">
        <f>"12:00"</f>
        <v>12:00</v>
      </c>
      <c r="C64" s="2"/>
      <c r="D64" s="2">
        <f>0.9458976</f>
        <v>0.94589760000000001</v>
      </c>
      <c r="E64" s="2">
        <f>0.94134116</f>
        <v>0.94134116000000001</v>
      </c>
      <c r="F64" s="2"/>
      <c r="G64" s="2">
        <f>7.874182</f>
        <v>7.8741820000000002</v>
      </c>
      <c r="H64" s="2"/>
      <c r="I64" s="2">
        <f>18.27627</f>
        <v>18.27627</v>
      </c>
      <c r="J64" s="2"/>
      <c r="K64" s="2">
        <f>24.711672</f>
        <v>24.711672</v>
      </c>
      <c r="L64" s="5"/>
      <c r="M64" s="6">
        <v>0.84634334</v>
      </c>
      <c r="N64" s="2"/>
      <c r="O64" s="2">
        <f>84.558266</f>
        <v>84.558266000000003</v>
      </c>
      <c r="P64" s="2">
        <f>97.013306</f>
        <v>97.013306</v>
      </c>
    </row>
    <row r="65" spans="1:16" ht="17">
      <c r="A65" s="1" t="str">
        <f t="shared" si="3"/>
        <v>2020/05/07</v>
      </c>
      <c r="B65" s="1" t="str">
        <f>"13:00"</f>
        <v>13:00</v>
      </c>
      <c r="C65" s="2"/>
      <c r="D65" s="2">
        <f>0.9437398</f>
        <v>0.94373980000000002</v>
      </c>
      <c r="E65" s="2">
        <f>0.9248368</f>
        <v>0.92483680000000001</v>
      </c>
      <c r="F65" s="2"/>
      <c r="G65" s="2">
        <f>11.366497</f>
        <v>11.366497000000001</v>
      </c>
      <c r="H65" s="2"/>
      <c r="I65" s="2">
        <f>10.616284</f>
        <v>10.616284</v>
      </c>
      <c r="J65" s="2"/>
      <c r="K65" s="2">
        <f>17.94795</f>
        <v>17.947949999999999</v>
      </c>
      <c r="L65" s="5"/>
      <c r="M65" s="6">
        <v>0.85436403999999999</v>
      </c>
      <c r="N65" s="2"/>
      <c r="O65" s="2">
        <f>90.088264</f>
        <v>90.088263999999995</v>
      </c>
      <c r="P65" s="2">
        <f>96.53849</f>
        <v>96.538489999999996</v>
      </c>
    </row>
    <row r="66" spans="1:16" ht="17">
      <c r="A66" s="1" t="str">
        <f t="shared" si="3"/>
        <v>2020/05/07</v>
      </c>
      <c r="B66" s="1" t="str">
        <f>"14:00"</f>
        <v>14:00</v>
      </c>
      <c r="C66" s="2"/>
      <c r="D66" s="2">
        <f>0.94058585</f>
        <v>0.94058584999999995</v>
      </c>
      <c r="E66" s="2">
        <f>0.91626257</f>
        <v>0.91626257</v>
      </c>
      <c r="F66" s="2"/>
      <c r="G66" s="2">
        <f>4.9642067</f>
        <v>4.9642067000000001</v>
      </c>
      <c r="H66" s="2"/>
      <c r="I66" s="2">
        <f>12.947419</f>
        <v>12.947419</v>
      </c>
      <c r="J66" s="2"/>
      <c r="K66" s="2">
        <f>15.89088</f>
        <v>15.890879999999999</v>
      </c>
      <c r="L66" s="5"/>
      <c r="M66" s="6">
        <v>0.92938953999999996</v>
      </c>
      <c r="N66" s="2"/>
      <c r="O66" s="2">
        <f>93.53727</f>
        <v>93.537270000000007</v>
      </c>
      <c r="P66" s="2">
        <f>102.89205</f>
        <v>102.89205</v>
      </c>
    </row>
    <row r="67" spans="1:16" ht="17">
      <c r="A67" s="1" t="str">
        <f t="shared" si="3"/>
        <v>2020/05/07</v>
      </c>
      <c r="B67" s="1" t="str">
        <f>"15:00"</f>
        <v>15:00</v>
      </c>
      <c r="C67" s="2"/>
      <c r="D67" s="2">
        <f>0.9324336</f>
        <v>0.93243359999999997</v>
      </c>
      <c r="E67" s="2">
        <f>0.9142166</f>
        <v>0.91421660000000005</v>
      </c>
      <c r="F67" s="2"/>
      <c r="G67" s="2">
        <f>6.297309</f>
        <v>6.2973090000000003</v>
      </c>
      <c r="H67" s="2"/>
      <c r="I67" s="2">
        <f>9.837871</f>
        <v>9.8378709999999998</v>
      </c>
      <c r="J67" s="2"/>
      <c r="K67" s="2">
        <f>14.162979</f>
        <v>14.162979</v>
      </c>
      <c r="L67" s="5"/>
      <c r="M67" s="6">
        <v>0.77958833999999999</v>
      </c>
      <c r="N67" s="2"/>
      <c r="O67" s="2">
        <f>96.67318</f>
        <v>96.673180000000002</v>
      </c>
      <c r="P67" s="2">
        <f>104.48177</f>
        <v>104.48177</v>
      </c>
    </row>
    <row r="68" spans="1:16" ht="17">
      <c r="A68" s="1" t="str">
        <f t="shared" si="3"/>
        <v>2020/05/07</v>
      </c>
      <c r="B68" s="1" t="str">
        <f>"16:00"</f>
        <v>16:00</v>
      </c>
      <c r="C68" s="2"/>
      <c r="D68" s="2">
        <f>0.92838717</f>
        <v>0.92838717000000004</v>
      </c>
      <c r="E68" s="2">
        <f>0.9142061</f>
        <v>0.91420610000000002</v>
      </c>
      <c r="F68" s="2"/>
      <c r="G68" s="2">
        <f>4.6397257</f>
        <v>4.6397256999999996</v>
      </c>
      <c r="H68" s="2"/>
      <c r="I68" s="2">
        <f>5.3518963</f>
        <v>5.3518962999999999</v>
      </c>
      <c r="J68" s="2"/>
      <c r="K68" s="2">
        <f>7.8764176</f>
        <v>7.8764175999999999</v>
      </c>
      <c r="L68" s="5"/>
      <c r="M68" s="6">
        <v>0.82113809999999998</v>
      </c>
      <c r="N68" s="2"/>
      <c r="O68" s="2">
        <f>98.9754</f>
        <v>98.975399999999993</v>
      </c>
      <c r="P68" s="2">
        <f>109.4191</f>
        <v>109.4191</v>
      </c>
    </row>
    <row r="69" spans="1:16" ht="17">
      <c r="A69" s="1" t="str">
        <f t="shared" si="3"/>
        <v>2020/05/07</v>
      </c>
      <c r="B69" s="1" t="str">
        <f>"17:00"</f>
        <v>17:00</v>
      </c>
      <c r="C69" s="2"/>
      <c r="D69" s="2">
        <f>0.9273207</f>
        <v>0.9273207</v>
      </c>
      <c r="E69" s="2">
        <f>0.91571075</f>
        <v>0.91571075000000002</v>
      </c>
      <c r="F69" s="2"/>
      <c r="G69" s="2">
        <f>4.13471</f>
        <v>4.1347100000000001</v>
      </c>
      <c r="H69" s="2"/>
      <c r="I69" s="2">
        <f>5.2478833</f>
        <v>5.2478832999999998</v>
      </c>
      <c r="J69" s="2"/>
      <c r="K69" s="2">
        <f>8.048366</f>
        <v>8.0483659999999997</v>
      </c>
      <c r="L69" s="5"/>
      <c r="M69" s="6">
        <v>0.83723829999999999</v>
      </c>
      <c r="N69" s="2"/>
      <c r="O69" s="2">
        <f>100.78005</f>
        <v>100.78005</v>
      </c>
      <c r="P69" s="2">
        <f>109.25385</f>
        <v>109.25385</v>
      </c>
    </row>
    <row r="70" spans="1:16" ht="17">
      <c r="A70" s="1" t="str">
        <f t="shared" si="3"/>
        <v>2020/05/07</v>
      </c>
      <c r="B70" s="1" t="str">
        <f>"18:00"</f>
        <v>18:00</v>
      </c>
      <c r="C70" s="2"/>
      <c r="D70" s="2">
        <f>0.92391706</f>
        <v>0.92391705999999996</v>
      </c>
      <c r="E70" s="2">
        <f>0.91594756</f>
        <v>0.91594755999999999</v>
      </c>
      <c r="F70" s="2"/>
      <c r="G70" s="2">
        <f>4.2978106</f>
        <v>4.2978106</v>
      </c>
      <c r="H70" s="2"/>
      <c r="I70" s="2">
        <f>7.9728327</f>
        <v>7.9728326999999997</v>
      </c>
      <c r="J70" s="2"/>
      <c r="K70" s="2">
        <f>14.54837</f>
        <v>14.54837</v>
      </c>
      <c r="L70" s="5"/>
      <c r="M70" s="6">
        <v>0.75542765999999995</v>
      </c>
      <c r="N70" s="2"/>
      <c r="O70" s="2">
        <f>102.267426</f>
        <v>102.267426</v>
      </c>
      <c r="P70" s="2">
        <f>104.64313</f>
        <v>104.64313</v>
      </c>
    </row>
    <row r="71" spans="1:16" ht="17">
      <c r="A71" s="1" t="str">
        <f t="shared" si="3"/>
        <v>2020/05/07</v>
      </c>
      <c r="B71" s="1" t="str">
        <f>"19:00"</f>
        <v>19:00</v>
      </c>
      <c r="C71" s="2"/>
      <c r="D71" s="2">
        <f>0.92107224</f>
        <v>0.92107223999999999</v>
      </c>
      <c r="E71" s="2">
        <f>0.9260563</f>
        <v>0.92605630000000005</v>
      </c>
      <c r="F71" s="2"/>
      <c r="G71" s="2">
        <f>3.0843863</f>
        <v>3.0843862999999998</v>
      </c>
      <c r="H71" s="2"/>
      <c r="I71" s="2">
        <f>4.7311897</f>
        <v>4.7311896999999998</v>
      </c>
      <c r="J71" s="2"/>
      <c r="K71" s="2">
        <f>9.214542</f>
        <v>9.2145419999999998</v>
      </c>
      <c r="L71" s="5"/>
      <c r="M71" s="6">
        <v>0.87845397000000003</v>
      </c>
      <c r="N71" s="2"/>
      <c r="O71" s="2">
        <f>103.70901</f>
        <v>103.70901000000001</v>
      </c>
      <c r="P71" s="2">
        <f>105.43034</f>
        <v>105.43034</v>
      </c>
    </row>
    <row r="72" spans="1:16" ht="17">
      <c r="A72" s="1" t="str">
        <f t="shared" si="3"/>
        <v>2020/05/07</v>
      </c>
      <c r="B72" s="1" t="str">
        <f>"20:00"</f>
        <v>20:00</v>
      </c>
      <c r="C72" s="2"/>
      <c r="D72" s="2">
        <f>0.9203101</f>
        <v>0.92031010000000002</v>
      </c>
      <c r="E72" s="2">
        <f>0.93524396</f>
        <v>0.93524395999999999</v>
      </c>
      <c r="F72" s="2"/>
      <c r="G72" s="2">
        <f>3.1874776</f>
        <v>3.1874775999999998</v>
      </c>
      <c r="H72" s="2"/>
      <c r="I72" s="2">
        <f>7.241241</f>
        <v>7.2412409999999996</v>
      </c>
      <c r="J72" s="2"/>
      <c r="K72" s="2">
        <f>11.843928</f>
        <v>11.843928</v>
      </c>
      <c r="L72" s="5"/>
      <c r="M72" s="6">
        <v>0.85213099999999997</v>
      </c>
      <c r="N72" s="2"/>
      <c r="O72" s="2">
        <f>104.6705</f>
        <v>104.6705</v>
      </c>
      <c r="P72" s="2">
        <f>104.70528</f>
        <v>104.70528</v>
      </c>
    </row>
    <row r="73" spans="1:16" ht="17">
      <c r="A73" s="1" t="str">
        <f t="shared" si="3"/>
        <v>2020/05/07</v>
      </c>
      <c r="B73" s="1" t="str">
        <f>"21:00"</f>
        <v>21:00</v>
      </c>
      <c r="C73" s="2"/>
      <c r="D73" s="2">
        <f>0.921721</f>
        <v>0.92172100000000001</v>
      </c>
      <c r="E73" s="2">
        <f>0.93612415</f>
        <v>0.93612415000000004</v>
      </c>
      <c r="F73" s="2"/>
      <c r="G73" s="2">
        <f>3.3963997</f>
        <v>3.3963996999999999</v>
      </c>
      <c r="H73" s="2"/>
      <c r="I73" s="2">
        <f>10.401499</f>
        <v>10.401498999999999</v>
      </c>
      <c r="J73" s="2"/>
      <c r="K73" s="2">
        <f>15.536111</f>
        <v>15.536111</v>
      </c>
      <c r="L73" s="5"/>
      <c r="M73" s="6">
        <v>0.82239216999999998</v>
      </c>
      <c r="N73" s="2"/>
      <c r="O73" s="2">
        <f>105.379776</f>
        <v>105.37977600000001</v>
      </c>
      <c r="P73" s="2">
        <f>102.212654</f>
        <v>102.212654</v>
      </c>
    </row>
    <row r="74" spans="1:16" ht="17">
      <c r="A74" s="1" t="str">
        <f t="shared" si="3"/>
        <v>2020/05/07</v>
      </c>
      <c r="B74" s="1" t="str">
        <f>"22:00"</f>
        <v>22:00</v>
      </c>
      <c r="C74" s="2"/>
      <c r="D74" s="2">
        <f>0.92441964</f>
        <v>0.92441963999999999</v>
      </c>
      <c r="E74" s="2">
        <f>0.9378517</f>
        <v>0.93785169999999995</v>
      </c>
      <c r="F74" s="2"/>
      <c r="G74" s="2">
        <f>1.9692262</f>
        <v>1.9692262</v>
      </c>
      <c r="H74" s="2"/>
      <c r="I74" s="2">
        <f>12.564428</f>
        <v>12.564427999999999</v>
      </c>
      <c r="J74" s="2"/>
      <c r="K74" s="2">
        <f>15.583654</f>
        <v>15.583653999999999</v>
      </c>
      <c r="L74" s="5"/>
      <c r="M74" s="6">
        <v>0.83816754999999998</v>
      </c>
      <c r="N74" s="2"/>
      <c r="O74" s="2">
        <f>104.52019</f>
        <v>104.52019</v>
      </c>
      <c r="P74" s="2">
        <f>96.01536</f>
        <v>96.015360000000001</v>
      </c>
    </row>
    <row r="75" spans="1:16" ht="17">
      <c r="A75" s="1" t="str">
        <f t="shared" si="3"/>
        <v>2020/05/07</v>
      </c>
      <c r="B75" s="1" t="str">
        <f>"23:00"</f>
        <v>23:00</v>
      </c>
      <c r="C75" s="2"/>
      <c r="D75" s="2">
        <f>0.9317657</f>
        <v>0.93176570000000003</v>
      </c>
      <c r="E75" s="2">
        <f>0.972985</f>
        <v>0.97298499999999999</v>
      </c>
      <c r="F75" s="2"/>
      <c r="G75" s="2">
        <f>0.9233104</f>
        <v>0.92331039999999998</v>
      </c>
      <c r="H75" s="2"/>
      <c r="I75" s="2">
        <f>15.934147</f>
        <v>15.934146999999999</v>
      </c>
      <c r="J75" s="2"/>
      <c r="K75" s="2">
        <f>17.350048</f>
        <v>17.350048000000001</v>
      </c>
      <c r="L75" s="5"/>
      <c r="M75" s="6">
        <v>0.90291049999999995</v>
      </c>
      <c r="N75" s="2"/>
      <c r="O75" s="2">
        <f>100.41144</f>
        <v>100.41144</v>
      </c>
      <c r="P75" s="2">
        <f>71.61179</f>
        <v>71.611789999999999</v>
      </c>
    </row>
    <row r="76" spans="1:16" ht="17">
      <c r="A76" s="1" t="str">
        <f t="shared" si="3"/>
        <v>2020/05/07</v>
      </c>
      <c r="B76" s="1" t="str">
        <f>"24:00"</f>
        <v>24:00</v>
      </c>
      <c r="C76" s="2"/>
      <c r="D76" s="2">
        <f>0.9353141</f>
        <v>0.93531410000000004</v>
      </c>
      <c r="E76" s="2">
        <f>0.9425933</f>
        <v>0.94259329999999997</v>
      </c>
      <c r="F76" s="2"/>
      <c r="G76" s="2">
        <f>0.937258</f>
        <v>0.93725800000000004</v>
      </c>
      <c r="H76" s="2"/>
      <c r="I76" s="2">
        <f>12.015071</f>
        <v>12.015071000000001</v>
      </c>
      <c r="J76" s="2"/>
      <c r="K76" s="2">
        <f>13.452011</f>
        <v>13.452011000000001</v>
      </c>
      <c r="L76" s="5"/>
      <c r="M76" s="6">
        <v>0.92088309999999995</v>
      </c>
      <c r="N76" s="2"/>
      <c r="O76" s="2">
        <f>95.84479</f>
        <v>95.844790000000003</v>
      </c>
      <c r="P76" s="2">
        <f>72.885925</f>
        <v>72.885925</v>
      </c>
    </row>
    <row r="77" spans="1:16" ht="17">
      <c r="A77" s="1" t="str">
        <f t="shared" ref="A77:A100" si="4">"2020/05/08"</f>
        <v>2020/05/08</v>
      </c>
      <c r="B77" s="1" t="str">
        <f>"01:00"</f>
        <v>01:00</v>
      </c>
      <c r="C77" s="2">
        <f>1.0061464</f>
        <v>1.0061464</v>
      </c>
      <c r="D77" s="2">
        <f>0.9372344</f>
        <v>0.93723440000000002</v>
      </c>
      <c r="E77" s="2">
        <f>0.93107307</f>
        <v>0.93107306999999995</v>
      </c>
      <c r="F77" s="2">
        <f>12.4772415</f>
        <v>12.4772415</v>
      </c>
      <c r="G77" s="2">
        <f>0.8338336</f>
        <v>0.83383359999999995</v>
      </c>
      <c r="H77" s="2">
        <f>21.40394</f>
        <v>21.403939999999999</v>
      </c>
      <c r="I77" s="2">
        <f>8.134107</f>
        <v>8.1341070000000002</v>
      </c>
      <c r="J77" s="2">
        <f>37.319126</f>
        <v>37.319125999999997</v>
      </c>
      <c r="K77" s="2">
        <f>9.412564</f>
        <v>9.4125639999999997</v>
      </c>
      <c r="L77" s="5">
        <v>1.0302754999999999</v>
      </c>
      <c r="M77" s="6">
        <v>0.85488014999999995</v>
      </c>
      <c r="N77" s="2">
        <f>88.168884</f>
        <v>88.168884000000006</v>
      </c>
      <c r="O77" s="2">
        <f>92.33856</f>
        <v>92.338560000000001</v>
      </c>
      <c r="P77" s="2">
        <f>81.20403</f>
        <v>81.204030000000003</v>
      </c>
    </row>
    <row r="78" spans="1:16" ht="17">
      <c r="A78" s="1" t="str">
        <f t="shared" si="4"/>
        <v>2020/05/08</v>
      </c>
      <c r="B78" s="1" t="str">
        <f>"02:00"</f>
        <v>02:00</v>
      </c>
      <c r="C78" s="2"/>
      <c r="D78" s="2">
        <f>0.940147</f>
        <v>0.94014699999999995</v>
      </c>
      <c r="E78" s="2">
        <f>0.9392482</f>
        <v>0.93924819999999998</v>
      </c>
      <c r="F78" s="2"/>
      <c r="G78" s="2">
        <f>32.36356</f>
        <v>32.36356</v>
      </c>
      <c r="H78" s="2"/>
      <c r="I78" s="2">
        <f>30.126322</f>
        <v>30.126321999999998</v>
      </c>
      <c r="J78" s="2"/>
      <c r="K78" s="2">
        <f>71.446846</f>
        <v>71.446845999999994</v>
      </c>
      <c r="L78" s="5"/>
      <c r="M78" s="6">
        <v>1.1043305000000001</v>
      </c>
      <c r="N78" s="2"/>
      <c r="O78" s="2">
        <f>88.50452</f>
        <v>88.504519999999999</v>
      </c>
      <c r="P78" s="2">
        <f>73.97078</f>
        <v>73.970780000000005</v>
      </c>
    </row>
    <row r="79" spans="1:16" ht="17">
      <c r="A79" s="1" t="str">
        <f t="shared" si="4"/>
        <v>2020/05/08</v>
      </c>
      <c r="B79" s="1" t="str">
        <f>"03:00"</f>
        <v>03:00</v>
      </c>
      <c r="C79" s="2"/>
      <c r="D79" s="2">
        <f>0.9432684</f>
        <v>0.94326840000000001</v>
      </c>
      <c r="E79" s="2">
        <f>0.9510278</f>
        <v>0.95102779999999998</v>
      </c>
      <c r="F79" s="2"/>
      <c r="G79" s="2">
        <f>42.246067</f>
        <v>42.246066999999996</v>
      </c>
      <c r="H79" s="2"/>
      <c r="I79" s="2">
        <f>48.77351</f>
        <v>48.773510000000002</v>
      </c>
      <c r="J79" s="2"/>
      <c r="K79" s="2">
        <f>100.89258</f>
        <v>100.89258</v>
      </c>
      <c r="L79" s="5"/>
      <c r="M79" s="6">
        <v>1.1263061999999999</v>
      </c>
      <c r="N79" s="2"/>
      <c r="O79" s="2">
        <f>84.28852</f>
        <v>84.288520000000005</v>
      </c>
      <c r="P79" s="2">
        <f>71.702354</f>
        <v>71.702354</v>
      </c>
    </row>
    <row r="80" spans="1:16" ht="17">
      <c r="A80" s="1" t="str">
        <f t="shared" si="4"/>
        <v>2020/05/08</v>
      </c>
      <c r="B80" s="1" t="str">
        <f>"04:00"</f>
        <v>04:00</v>
      </c>
      <c r="C80" s="2"/>
      <c r="D80" s="2">
        <f>0.9436472</f>
        <v>0.94364720000000002</v>
      </c>
      <c r="E80" s="2">
        <f>0.93827444</f>
        <v>0.93827444000000004</v>
      </c>
      <c r="F80" s="2"/>
      <c r="G80" s="2">
        <f>39.45637</f>
        <v>39.45637</v>
      </c>
      <c r="H80" s="2"/>
      <c r="I80" s="2">
        <f>36.64831</f>
        <v>36.648310000000002</v>
      </c>
      <c r="J80" s="2"/>
      <c r="K80" s="2">
        <f>74.37525</f>
        <v>74.375249999999994</v>
      </c>
      <c r="L80" s="5"/>
      <c r="M80" s="6">
        <v>1.0779258</v>
      </c>
      <c r="N80" s="2"/>
      <c r="O80" s="2">
        <f>80.681145</f>
        <v>80.681145000000001</v>
      </c>
      <c r="P80" s="2">
        <f>75.84625</f>
        <v>75.846249999999998</v>
      </c>
    </row>
    <row r="81" spans="1:16" ht="17">
      <c r="A81" s="1" t="str">
        <f t="shared" si="4"/>
        <v>2020/05/08</v>
      </c>
      <c r="B81" s="1" t="str">
        <f>"05:00"</f>
        <v>05:00</v>
      </c>
      <c r="C81" s="2"/>
      <c r="D81" s="2">
        <f>0.94589645</f>
        <v>0.94589645</v>
      </c>
      <c r="E81" s="2">
        <f>0.95411795</f>
        <v>0.95411794999999999</v>
      </c>
      <c r="F81" s="2"/>
      <c r="G81" s="2">
        <f>43.21163</f>
        <v>43.21163</v>
      </c>
      <c r="H81" s="2"/>
      <c r="I81" s="2">
        <f>50.735767</f>
        <v>50.735767000000003</v>
      </c>
      <c r="J81" s="2"/>
      <c r="K81" s="2">
        <f>98.7332</f>
        <v>98.733199999999997</v>
      </c>
      <c r="L81" s="5"/>
      <c r="M81" s="6">
        <v>1.2600784</v>
      </c>
      <c r="N81" s="2"/>
      <c r="O81" s="2">
        <f>77.072914</f>
        <v>77.072913999999997</v>
      </c>
      <c r="P81" s="2">
        <f>73.34683</f>
        <v>73.346829999999997</v>
      </c>
    </row>
    <row r="82" spans="1:16" ht="17">
      <c r="A82" s="1" t="str">
        <f t="shared" si="4"/>
        <v>2020/05/08</v>
      </c>
      <c r="B82" s="1" t="str">
        <f>"06:00"</f>
        <v>06:00</v>
      </c>
      <c r="C82" s="2"/>
      <c r="D82" s="2">
        <f>0.94757605</f>
        <v>0.94757605</v>
      </c>
      <c r="E82" s="2">
        <f>0.95128834</f>
        <v>0.95128833999999995</v>
      </c>
      <c r="F82" s="2"/>
      <c r="G82" s="2">
        <f>18.634037</f>
        <v>18.634036999999999</v>
      </c>
      <c r="H82" s="2"/>
      <c r="I82" s="2">
        <f>19.407358</f>
        <v>19.407357999999999</v>
      </c>
      <c r="J82" s="2"/>
      <c r="K82" s="2">
        <f>43.42966</f>
        <v>43.429659999999998</v>
      </c>
      <c r="L82" s="5"/>
      <c r="M82" s="6">
        <v>0.90672414999999995</v>
      </c>
      <c r="N82" s="2"/>
      <c r="O82" s="2">
        <f>75.57564</f>
        <v>75.575640000000007</v>
      </c>
      <c r="P82" s="2">
        <f>84.03711</f>
        <v>84.037109999999998</v>
      </c>
    </row>
    <row r="83" spans="1:16" ht="17">
      <c r="A83" s="1" t="str">
        <f t="shared" si="4"/>
        <v>2020/05/08</v>
      </c>
      <c r="B83" s="1" t="str">
        <f>"07:00"</f>
        <v>07:00</v>
      </c>
      <c r="C83" s="2"/>
      <c r="D83" s="2">
        <f>0.9500733</f>
        <v>0.95007330000000001</v>
      </c>
      <c r="E83" s="2">
        <f>0.9929634</f>
        <v>0.99296340000000005</v>
      </c>
      <c r="F83" s="2"/>
      <c r="G83" s="2">
        <f>11.410254</f>
        <v>11.410254</v>
      </c>
      <c r="H83" s="2"/>
      <c r="I83" s="2">
        <f>24.4279</f>
        <v>24.427900000000001</v>
      </c>
      <c r="J83" s="2"/>
      <c r="K83" s="2">
        <f>40.39381</f>
        <v>40.393810000000002</v>
      </c>
      <c r="L83" s="5"/>
      <c r="M83" s="6">
        <v>1.0061034</v>
      </c>
      <c r="N83" s="2"/>
      <c r="O83" s="2">
        <f>76.62752</f>
        <v>76.627520000000004</v>
      </c>
      <c r="P83" s="2">
        <f>80.026855</f>
        <v>80.026854999999998</v>
      </c>
    </row>
    <row r="84" spans="1:16" ht="17">
      <c r="A84" s="1" t="str">
        <f t="shared" si="4"/>
        <v>2020/05/08</v>
      </c>
      <c r="B84" s="1" t="str">
        <f>"08:00"</f>
        <v>08:00</v>
      </c>
      <c r="C84" s="2"/>
      <c r="D84" s="2">
        <f>0.9645599</f>
        <v>0.96455990000000003</v>
      </c>
      <c r="E84" s="2">
        <f>1.0584863</f>
        <v>1.0584863</v>
      </c>
      <c r="F84" s="2"/>
      <c r="G84" s="2">
        <f>12.789551</f>
        <v>12.789550999999999</v>
      </c>
      <c r="H84" s="2"/>
      <c r="I84" s="2">
        <f>31.142546</f>
        <v>31.142545999999999</v>
      </c>
      <c r="J84" s="2"/>
      <c r="K84" s="2">
        <f>50.750374</f>
        <v>50.750374000000001</v>
      </c>
      <c r="L84" s="5"/>
      <c r="M84" s="6">
        <v>0.99864160000000002</v>
      </c>
      <c r="N84" s="2"/>
      <c r="O84" s="2">
        <f>76.674416</f>
        <v>76.674415999999994</v>
      </c>
      <c r="P84" s="2">
        <f>73.26109</f>
        <v>73.261089999999996</v>
      </c>
    </row>
    <row r="85" spans="1:16" ht="17">
      <c r="A85" s="1" t="str">
        <f t="shared" si="4"/>
        <v>2020/05/08</v>
      </c>
      <c r="B85" s="1" t="str">
        <f>"09:00"</f>
        <v>09:00</v>
      </c>
      <c r="C85" s="2"/>
      <c r="D85" s="2">
        <f>0.9896832</f>
        <v>0.98968319999999999</v>
      </c>
      <c r="E85" s="2">
        <f>1.1320592</f>
        <v>1.1320592</v>
      </c>
      <c r="F85" s="2"/>
      <c r="G85" s="2">
        <f>12.089149</f>
        <v>12.089149000000001</v>
      </c>
      <c r="H85" s="2"/>
      <c r="I85" s="2">
        <f>26.532257</f>
        <v>26.532257000000001</v>
      </c>
      <c r="J85" s="2"/>
      <c r="K85" s="2">
        <f>43.887325</f>
        <v>43.887324999999997</v>
      </c>
      <c r="L85" s="5"/>
      <c r="M85" s="6">
        <v>1.2868617</v>
      </c>
      <c r="N85" s="2"/>
      <c r="O85" s="2">
        <f>77.348404</f>
        <v>77.348404000000002</v>
      </c>
      <c r="P85" s="2">
        <f>86.59597</f>
        <v>86.595969999999994</v>
      </c>
    </row>
    <row r="86" spans="1:16" ht="17">
      <c r="A86" s="1" t="str">
        <f t="shared" si="4"/>
        <v>2020/05/08</v>
      </c>
      <c r="B86" s="1" t="str">
        <f>"10:00"</f>
        <v>10:00</v>
      </c>
      <c r="C86" s="2"/>
      <c r="D86" s="2">
        <f>1.005152</f>
        <v>1.005152</v>
      </c>
      <c r="E86" s="2">
        <f>1.0629989</f>
        <v>1.0629989</v>
      </c>
      <c r="F86" s="2"/>
      <c r="G86" s="2">
        <f>20.051441</f>
        <v>20.051441000000001</v>
      </c>
      <c r="H86" s="2"/>
      <c r="I86" s="2">
        <f>23.913124</f>
        <v>23.913124</v>
      </c>
      <c r="J86" s="2"/>
      <c r="K86" s="2">
        <f>40.562313</f>
        <v>40.562313000000003</v>
      </c>
      <c r="L86" s="5"/>
      <c r="M86" s="6">
        <v>1.3215334000000001</v>
      </c>
      <c r="N86" s="2"/>
      <c r="O86" s="2">
        <f>79.780685</f>
        <v>79.780685000000005</v>
      </c>
      <c r="P86" s="2">
        <f>93.42901</f>
        <v>93.429010000000005</v>
      </c>
    </row>
    <row r="87" spans="1:16" ht="17">
      <c r="A87" s="1" t="str">
        <f t="shared" si="4"/>
        <v>2020/05/08</v>
      </c>
      <c r="B87" s="1" t="str">
        <f>"11:00"</f>
        <v>11:00</v>
      </c>
      <c r="C87" s="2"/>
      <c r="D87" s="2">
        <f>1.0188391</f>
        <v>1.0188391000000001</v>
      </c>
      <c r="E87" s="2">
        <f>1.0605242</f>
        <v>1.0605241999999999</v>
      </c>
      <c r="F87" s="2"/>
      <c r="G87" s="2">
        <f>18.798697</f>
        <v>18.798697000000001</v>
      </c>
      <c r="H87" s="2"/>
      <c r="I87" s="2">
        <f>30.540274</f>
        <v>30.540274</v>
      </c>
      <c r="J87" s="2"/>
      <c r="K87" s="2">
        <f>54.57332</f>
        <v>54.573320000000002</v>
      </c>
      <c r="L87" s="5"/>
      <c r="M87" s="6">
        <v>1.1706022</v>
      </c>
      <c r="N87" s="2"/>
      <c r="O87" s="2">
        <f>82.63955</f>
        <v>82.63955</v>
      </c>
      <c r="P87" s="2">
        <f>94.57328</f>
        <v>94.573279999999997</v>
      </c>
    </row>
    <row r="88" spans="1:16" ht="17">
      <c r="A88" s="1" t="str">
        <f t="shared" si="4"/>
        <v>2020/05/08</v>
      </c>
      <c r="B88" s="1" t="str">
        <f>"12:00"</f>
        <v>12:00</v>
      </c>
      <c r="C88" s="2"/>
      <c r="D88" s="2">
        <f>1.0285157</f>
        <v>1.0285157</v>
      </c>
      <c r="E88" s="2">
        <f>1.0156875</f>
        <v>1.0156875000000001</v>
      </c>
      <c r="F88" s="2"/>
      <c r="G88" s="2">
        <f>14.6171875</f>
        <v>14.6171875</v>
      </c>
      <c r="H88" s="2"/>
      <c r="I88" s="2">
        <f>12.68855</f>
        <v>12.688549999999999</v>
      </c>
      <c r="J88" s="2"/>
      <c r="K88" s="2">
        <f>31.292233</f>
        <v>31.292233</v>
      </c>
      <c r="L88" s="5"/>
      <c r="M88" s="6">
        <v>1.0380596</v>
      </c>
      <c r="N88" s="2"/>
      <c r="O88" s="2">
        <f>85.91743</f>
        <v>85.917429999999996</v>
      </c>
      <c r="P88" s="2">
        <f>102.06926</f>
        <v>102.06926</v>
      </c>
    </row>
    <row r="89" spans="1:16" ht="17">
      <c r="A89" s="1" t="str">
        <f t="shared" si="4"/>
        <v>2020/05/08</v>
      </c>
      <c r="B89" s="1" t="str">
        <f>"13:00"</f>
        <v>13:00</v>
      </c>
      <c r="C89" s="2"/>
      <c r="D89" s="2">
        <f>1.0324528</f>
        <v>1.0324527999999999</v>
      </c>
      <c r="E89" s="2">
        <f>0.98561496</f>
        <v>0.98561496000000004</v>
      </c>
      <c r="F89" s="2"/>
      <c r="G89" s="2">
        <f>9.702305</f>
        <v>9.7023050000000008</v>
      </c>
      <c r="H89" s="2"/>
      <c r="I89" s="2">
        <f>17.598585</f>
        <v>17.598585</v>
      </c>
      <c r="J89" s="2"/>
      <c r="K89" s="2">
        <f>32.025238</f>
        <v>32.025238000000002</v>
      </c>
      <c r="L89" s="5"/>
      <c r="M89" s="6">
        <v>1.1215394999999999</v>
      </c>
      <c r="N89" s="2"/>
      <c r="O89" s="2">
        <f>89.56344</f>
        <v>89.56344</v>
      </c>
      <c r="P89" s="2">
        <f>102.51492</f>
        <v>102.51492</v>
      </c>
    </row>
    <row r="90" spans="1:16" ht="17">
      <c r="A90" s="1" t="str">
        <f t="shared" si="4"/>
        <v>2020/05/08</v>
      </c>
      <c r="B90" s="1" t="str">
        <f>"14:00"</f>
        <v>14:00</v>
      </c>
      <c r="C90" s="2"/>
      <c r="D90" s="2">
        <f>1.0349407</f>
        <v>1.0349406999999999</v>
      </c>
      <c r="E90" s="2">
        <f>0.9711909</f>
        <v>0.97119089999999997</v>
      </c>
      <c r="F90" s="2"/>
      <c r="G90" s="2">
        <f>3.1695478</f>
        <v>3.1695478000000001</v>
      </c>
      <c r="H90" s="2"/>
      <c r="I90" s="2">
        <f>6.9070697</f>
        <v>6.9070697000000001</v>
      </c>
      <c r="J90" s="2"/>
      <c r="K90" s="2">
        <f>11.760218</f>
        <v>11.760218</v>
      </c>
      <c r="L90" s="5"/>
      <c r="M90" s="6">
        <v>0.67169579999999995</v>
      </c>
      <c r="N90" s="2"/>
      <c r="O90" s="2">
        <f>92.57421</f>
        <v>92.574209999999994</v>
      </c>
      <c r="P90" s="2">
        <f>108.123276</f>
        <v>108.123276</v>
      </c>
    </row>
    <row r="91" spans="1:16" ht="17">
      <c r="A91" s="1" t="str">
        <f t="shared" si="4"/>
        <v>2020/05/08</v>
      </c>
      <c r="B91" s="1" t="str">
        <f>"15:00"</f>
        <v>15:00</v>
      </c>
      <c r="C91" s="2"/>
      <c r="D91" s="2">
        <f>1.0311472</f>
        <v>1.0311471999999999</v>
      </c>
      <c r="E91" s="2">
        <f>0.9626164</f>
        <v>0.96261640000000004</v>
      </c>
      <c r="F91" s="2"/>
      <c r="G91" s="2">
        <f>1.7627581</f>
        <v>1.7627581000000001</v>
      </c>
      <c r="H91" s="2"/>
      <c r="I91" s="2">
        <f>5.952937</f>
        <v>5.9529370000000004</v>
      </c>
      <c r="J91" s="2"/>
      <c r="K91" s="2">
        <f>8.655766</f>
        <v>8.6557659999999998</v>
      </c>
      <c r="L91" s="5"/>
      <c r="M91" s="6">
        <v>1.0011843</v>
      </c>
      <c r="N91" s="2"/>
      <c r="O91" s="2">
        <f>96.238945</f>
        <v>96.238945000000001</v>
      </c>
      <c r="P91" s="2">
        <f>109.34475</f>
        <v>109.34475</v>
      </c>
    </row>
    <row r="92" spans="1:16" ht="17">
      <c r="A92" s="1" t="str">
        <f t="shared" si="4"/>
        <v>2020/05/08</v>
      </c>
      <c r="B92" s="1" t="str">
        <f>"16:00"</f>
        <v>16:00</v>
      </c>
      <c r="C92" s="2"/>
      <c r="D92" s="2">
        <f>1.0220957</f>
        <v>1.0220956999999999</v>
      </c>
      <c r="E92" s="2">
        <f>0.9860736</f>
        <v>0.98607359999999999</v>
      </c>
      <c r="F92" s="2"/>
      <c r="G92" s="2">
        <f>2.2682178</f>
        <v>2.2682178</v>
      </c>
      <c r="H92" s="2"/>
      <c r="I92" s="2">
        <f>6.8656797</f>
        <v>6.8656797000000003</v>
      </c>
      <c r="J92" s="2"/>
      <c r="K92" s="2">
        <f>10.343575</f>
        <v>10.343575</v>
      </c>
      <c r="L92" s="5"/>
      <c r="M92" s="6">
        <v>0.86335342999999998</v>
      </c>
      <c r="N92" s="2"/>
      <c r="O92" s="2">
        <f>100.600845</f>
        <v>100.60084500000001</v>
      </c>
      <c r="P92" s="2">
        <f>108.15633</f>
        <v>108.15633</v>
      </c>
    </row>
    <row r="93" spans="1:16" ht="17">
      <c r="A93" s="1" t="str">
        <f t="shared" si="4"/>
        <v>2020/05/08</v>
      </c>
      <c r="B93" s="1" t="str">
        <f>"17:00"</f>
        <v>17:00</v>
      </c>
      <c r="C93" s="2"/>
      <c r="D93" s="2">
        <f>1.0041963</f>
        <v>1.0041963</v>
      </c>
      <c r="E93" s="2">
        <f>0.98886406</f>
        <v>0.98886406000000004</v>
      </c>
      <c r="F93" s="2"/>
      <c r="G93" s="2">
        <f>2.160068</f>
        <v>2.1600679999999999</v>
      </c>
      <c r="H93" s="2"/>
      <c r="I93" s="2">
        <f>7.1629477</f>
        <v>7.1629477000000001</v>
      </c>
      <c r="J93" s="2"/>
      <c r="K93" s="2">
        <f>10.474714</f>
        <v>10.474714000000001</v>
      </c>
      <c r="L93" s="5"/>
      <c r="M93" s="6">
        <v>0.91736019999999996</v>
      </c>
      <c r="N93" s="2"/>
      <c r="O93" s="2">
        <f>103.53376</f>
        <v>103.53376</v>
      </c>
      <c r="P93" s="2">
        <f>110.05924</f>
        <v>110.05924</v>
      </c>
    </row>
    <row r="94" spans="1:16" ht="17">
      <c r="A94" s="1" t="str">
        <f t="shared" si="4"/>
        <v>2020/05/08</v>
      </c>
      <c r="B94" s="1" t="str">
        <f>"18:00"</f>
        <v>18:00</v>
      </c>
      <c r="C94" s="2"/>
      <c r="D94" s="2">
        <f>0.99792105</f>
        <v>0.99792104999999998</v>
      </c>
      <c r="E94" s="2">
        <f>1.0127966</f>
        <v>1.0127965999999999</v>
      </c>
      <c r="F94" s="2"/>
      <c r="G94" s="2">
        <f>3.0952873</f>
        <v>3.0952872999999999</v>
      </c>
      <c r="H94" s="2"/>
      <c r="I94" s="2">
        <f>10.64527</f>
        <v>10.64527</v>
      </c>
      <c r="J94" s="2"/>
      <c r="K94" s="2">
        <f>15.391423</f>
        <v>15.391423</v>
      </c>
      <c r="L94" s="5"/>
      <c r="M94" s="6">
        <v>0.84426179999999995</v>
      </c>
      <c r="N94" s="2"/>
      <c r="O94" s="2">
        <f>105.86641</f>
        <v>105.86641</v>
      </c>
      <c r="P94" s="2">
        <f>112.09024</f>
        <v>112.09023999999999</v>
      </c>
    </row>
    <row r="95" spans="1:16" ht="17">
      <c r="A95" s="1" t="str">
        <f t="shared" si="4"/>
        <v>2020/05/08</v>
      </c>
      <c r="B95" s="1" t="str">
        <f>"19:00"</f>
        <v>19:00</v>
      </c>
      <c r="C95" s="2"/>
      <c r="D95" s="2">
        <f>0.99372363</f>
        <v>0.99372362999999997</v>
      </c>
      <c r="E95" s="2">
        <f>1.0269448</f>
        <v>1.0269448000000001</v>
      </c>
      <c r="F95" s="2"/>
      <c r="G95" s="2">
        <f>3.236768</f>
        <v>3.2367680000000001</v>
      </c>
      <c r="H95" s="2"/>
      <c r="I95" s="2">
        <f>12.598622</f>
        <v>12.598622000000001</v>
      </c>
      <c r="J95" s="2"/>
      <c r="K95" s="2">
        <f>17.561602</f>
        <v>17.561602000000001</v>
      </c>
      <c r="L95" s="5"/>
      <c r="M95" s="6">
        <v>0.94269769999999997</v>
      </c>
      <c r="N95" s="2"/>
      <c r="O95" s="2">
        <f>107.573845</f>
        <v>107.57384500000001</v>
      </c>
      <c r="P95" s="2">
        <f>108.23273</f>
        <v>108.23273</v>
      </c>
    </row>
    <row r="96" spans="1:16" ht="17">
      <c r="A96" s="1" t="str">
        <f t="shared" si="4"/>
        <v>2020/05/08</v>
      </c>
      <c r="B96" s="1" t="str">
        <f>"20:00"</f>
        <v>20:00</v>
      </c>
      <c r="C96" s="2"/>
      <c r="D96" s="2">
        <f>0.9998194</f>
        <v>0.99981940000000002</v>
      </c>
      <c r="E96" s="2">
        <f>1.0644538</f>
        <v>1.0644537999999999</v>
      </c>
      <c r="F96" s="2"/>
      <c r="G96" s="2">
        <f>2.1961713</f>
        <v>2.1961713</v>
      </c>
      <c r="H96" s="2"/>
      <c r="I96" s="2">
        <f>18.91189</f>
        <v>18.91189</v>
      </c>
      <c r="J96" s="2"/>
      <c r="K96" s="2">
        <f>22.268581</f>
        <v>22.268581000000001</v>
      </c>
      <c r="L96" s="5"/>
      <c r="M96" s="6">
        <v>0.96827099999999999</v>
      </c>
      <c r="N96" s="2"/>
      <c r="O96" s="2">
        <f>107.15779</f>
        <v>107.15779000000001</v>
      </c>
      <c r="P96" s="2">
        <f>98.74085</f>
        <v>98.740849999999995</v>
      </c>
    </row>
    <row r="97" spans="1:16" ht="17">
      <c r="A97" s="1" t="str">
        <f t="shared" si="4"/>
        <v>2020/05/08</v>
      </c>
      <c r="B97" s="1" t="str">
        <f>"21:00"</f>
        <v>21:00</v>
      </c>
      <c r="C97" s="2"/>
      <c r="D97" s="2">
        <f>1.0167675</f>
        <v>1.0167675</v>
      </c>
      <c r="E97" s="2">
        <f>1.1212001</f>
        <v>1.1212001</v>
      </c>
      <c r="F97" s="2"/>
      <c r="G97" s="2">
        <f>2.3502557</f>
        <v>2.3502556999999999</v>
      </c>
      <c r="H97" s="2"/>
      <c r="I97" s="2">
        <f>36.061848</f>
        <v>36.061847999999998</v>
      </c>
      <c r="J97" s="2"/>
      <c r="K97" s="2">
        <f>39.649166</f>
        <v>39.649166000000001</v>
      </c>
      <c r="L97" s="5"/>
      <c r="M97" s="6">
        <v>1.0868323</v>
      </c>
      <c r="N97" s="2"/>
      <c r="O97" s="2">
        <f>102.96672</f>
        <v>102.96672</v>
      </c>
      <c r="P97" s="2">
        <f>68.98632</f>
        <v>68.986320000000006</v>
      </c>
    </row>
    <row r="98" spans="1:16" ht="17">
      <c r="A98" s="1" t="str">
        <f t="shared" si="4"/>
        <v>2020/05/08</v>
      </c>
      <c r="B98" s="1" t="str">
        <f>"22:00"</f>
        <v>22:00</v>
      </c>
      <c r="C98" s="2"/>
      <c r="D98" s="2">
        <f>1.0247301</f>
        <v>1.0247301</v>
      </c>
      <c r="E98" s="2">
        <f>1.0348909</f>
        <v>1.0348908999999999</v>
      </c>
      <c r="F98" s="2"/>
      <c r="G98" s="2">
        <f>1.2703333</f>
        <v>1.2703333000000001</v>
      </c>
      <c r="H98" s="2"/>
      <c r="I98" s="2">
        <f>29.20921</f>
        <v>29.209209999999999</v>
      </c>
      <c r="J98" s="2"/>
      <c r="K98" s="2">
        <f>31.155855</f>
        <v>31.155854999999999</v>
      </c>
      <c r="L98" s="5"/>
      <c r="M98" s="6">
        <v>1.2141814</v>
      </c>
      <c r="N98" s="2"/>
      <c r="O98" s="2">
        <f>98.03795</f>
        <v>98.037949999999995</v>
      </c>
      <c r="P98" s="2">
        <f>68.69311</f>
        <v>68.693110000000004</v>
      </c>
    </row>
    <row r="99" spans="1:16" ht="17">
      <c r="A99" s="1" t="str">
        <f t="shared" si="4"/>
        <v>2020/05/08</v>
      </c>
      <c r="B99" s="1" t="str">
        <f>"23:00"</f>
        <v>23:00</v>
      </c>
      <c r="C99" s="2"/>
      <c r="D99" s="2">
        <f>1.0296153</f>
        <v>1.0296152999999999</v>
      </c>
      <c r="E99" s="2">
        <f>1.0016984</f>
        <v>1.0016984</v>
      </c>
      <c r="F99" s="2"/>
      <c r="G99" s="2">
        <f>0.94314575</f>
        <v>0.94314575</v>
      </c>
      <c r="H99" s="2"/>
      <c r="I99" s="2">
        <f>18.31879</f>
        <v>18.31879</v>
      </c>
      <c r="J99" s="2"/>
      <c r="K99" s="2">
        <f>19.765041</f>
        <v>19.765041</v>
      </c>
      <c r="L99" s="5"/>
      <c r="M99" s="6">
        <v>0.97189163999999995</v>
      </c>
      <c r="N99" s="2"/>
      <c r="O99" s="2">
        <f>92.2871</f>
        <v>92.287099999999995</v>
      </c>
      <c r="P99" s="2">
        <f>63.337982</f>
        <v>63.337981999999997</v>
      </c>
    </row>
    <row r="100" spans="1:16" ht="17">
      <c r="A100" s="1" t="str">
        <f t="shared" si="4"/>
        <v>2020/05/08</v>
      </c>
      <c r="B100" s="1" t="str">
        <f>"24:00"</f>
        <v>24:00</v>
      </c>
      <c r="C100" s="2"/>
      <c r="D100" s="2">
        <f>1.0317838</f>
        <v>1.0317837999999999</v>
      </c>
      <c r="E100" s="2">
        <f>1.0034217</f>
        <v>1.0034217000000001</v>
      </c>
      <c r="F100" s="2"/>
      <c r="G100" s="2">
        <f>0.7971577</f>
        <v>0.79715769999999997</v>
      </c>
      <c r="H100" s="2"/>
      <c r="I100" s="2">
        <f>15.636071</f>
        <v>15.636070999999999</v>
      </c>
      <c r="J100" s="2"/>
      <c r="K100" s="2">
        <f>16.858387</f>
        <v>16.858387</v>
      </c>
      <c r="L100" s="5"/>
      <c r="M100" s="6">
        <v>0.97129350000000003</v>
      </c>
      <c r="N100" s="2"/>
      <c r="O100" s="2">
        <f>87.231384</f>
        <v>87.231384000000006</v>
      </c>
      <c r="P100" s="2">
        <f>67.71062</f>
        <v>67.710620000000006</v>
      </c>
    </row>
    <row r="101" spans="1:16" ht="17">
      <c r="A101" s="1" t="str">
        <f t="shared" ref="A101:A124" si="5">"2020/05/09"</f>
        <v>2020/05/09</v>
      </c>
      <c r="B101" s="1" t="str">
        <f>"01:00"</f>
        <v>01:00</v>
      </c>
      <c r="C101" s="2">
        <f>1.0492029</f>
        <v>1.0492029</v>
      </c>
      <c r="D101" s="2">
        <f>1.0319998</f>
        <v>1.0319997999999999</v>
      </c>
      <c r="E101" s="2">
        <f>0.9905924</f>
        <v>0.99059240000000004</v>
      </c>
      <c r="F101" s="2">
        <f>2.7992213</f>
        <v>2.7992213000000001</v>
      </c>
      <c r="G101" s="2">
        <f>0.8898397</f>
        <v>0.88983970000000001</v>
      </c>
      <c r="H101" s="2">
        <f>17.280914</f>
        <v>17.280913999999999</v>
      </c>
      <c r="I101" s="2">
        <f>14.989453</f>
        <v>14.989452999999999</v>
      </c>
      <c r="J101" s="2">
        <f>21.544016</f>
        <v>21.544015999999999</v>
      </c>
      <c r="K101" s="2">
        <f>16.353922</f>
        <v>16.353922000000001</v>
      </c>
      <c r="L101" s="5">
        <v>1.0486633000000001</v>
      </c>
      <c r="M101" s="6">
        <v>0.86672145</v>
      </c>
      <c r="N101" s="2">
        <f>91.104645</f>
        <v>91.104645000000005</v>
      </c>
      <c r="O101" s="2">
        <f>81.618004</f>
        <v>81.618003999999999</v>
      </c>
      <c r="P101" s="2">
        <f>65.1522</f>
        <v>65.152199999999993</v>
      </c>
    </row>
    <row r="102" spans="1:16" ht="17">
      <c r="A102" s="1" t="str">
        <f t="shared" si="5"/>
        <v>2020/05/09</v>
      </c>
      <c r="B102" s="1" t="str">
        <f>"02:00"</f>
        <v>02:00</v>
      </c>
      <c r="C102" s="2"/>
      <c r="D102" s="2">
        <f>1.027747</f>
        <v>1.027747</v>
      </c>
      <c r="E102" s="2">
        <f>0.9787744</f>
        <v>0.97877440000000004</v>
      </c>
      <c r="F102" s="2"/>
      <c r="G102" s="2">
        <f>0.65025824</f>
        <v>0.65025823999999999</v>
      </c>
      <c r="H102" s="2"/>
      <c r="I102" s="2">
        <f>12.499004</f>
        <v>12.499003999999999</v>
      </c>
      <c r="J102" s="2"/>
      <c r="K102" s="2">
        <f>13.496172</f>
        <v>13.496172</v>
      </c>
      <c r="L102" s="5"/>
      <c r="M102" s="6">
        <v>0.95896289999999995</v>
      </c>
      <c r="N102" s="2"/>
      <c r="O102" s="2">
        <f>76.28462</f>
        <v>76.284620000000004</v>
      </c>
      <c r="P102" s="2">
        <f>69.42316</f>
        <v>69.423159999999996</v>
      </c>
    </row>
    <row r="103" spans="1:16" ht="17">
      <c r="A103" s="1" t="str">
        <f t="shared" si="5"/>
        <v>2020/05/09</v>
      </c>
      <c r="B103" s="1" t="str">
        <f>"03:00"</f>
        <v>03:00</v>
      </c>
      <c r="C103" s="2"/>
      <c r="D103" s="2">
        <f>1.0214207</f>
        <v>1.0214207</v>
      </c>
      <c r="E103" s="2">
        <f>0.97633404</f>
        <v>0.97633404000000001</v>
      </c>
      <c r="F103" s="2"/>
      <c r="G103" s="2">
        <f>0.6435861</f>
        <v>0.64358610000000005</v>
      </c>
      <c r="H103" s="2"/>
      <c r="I103" s="2">
        <f>13.691192</f>
        <v>13.691191999999999</v>
      </c>
      <c r="J103" s="2"/>
      <c r="K103" s="2">
        <f>14.678061</f>
        <v>14.678061</v>
      </c>
      <c r="L103" s="5"/>
      <c r="M103" s="6">
        <v>0.94003939999999997</v>
      </c>
      <c r="N103" s="2"/>
      <c r="O103" s="2">
        <f>71.03049</f>
        <v>71.03049</v>
      </c>
      <c r="P103" s="2">
        <f>66.19965</f>
        <v>66.199650000000005</v>
      </c>
    </row>
    <row r="104" spans="1:16" ht="17">
      <c r="A104" s="1" t="str">
        <f t="shared" si="5"/>
        <v>2020/05/09</v>
      </c>
      <c r="B104" s="1" t="str">
        <f>"04:00"</f>
        <v>04:00</v>
      </c>
      <c r="C104" s="2"/>
      <c r="D104" s="2">
        <f>1.0097356</f>
        <v>1.0097356</v>
      </c>
      <c r="E104" s="2">
        <f>0.9709731</f>
        <v>0.97097310000000003</v>
      </c>
      <c r="F104" s="2"/>
      <c r="G104" s="2">
        <f>0.64592075</f>
        <v>0.64592075000000004</v>
      </c>
      <c r="H104" s="2"/>
      <c r="I104" s="2">
        <f>14.191872</f>
        <v>14.191872</v>
      </c>
      <c r="J104" s="2"/>
      <c r="K104" s="2">
        <f>15.182123</f>
        <v>15.182123000000001</v>
      </c>
      <c r="L104" s="5"/>
      <c r="M104" s="6">
        <v>0.82270120000000002</v>
      </c>
      <c r="N104" s="2"/>
      <c r="O104" s="2">
        <f>67.07655</f>
        <v>67.076549999999997</v>
      </c>
      <c r="P104" s="2">
        <f>67.109406</f>
        <v>67.109406000000007</v>
      </c>
    </row>
    <row r="105" spans="1:16" ht="17">
      <c r="A105" s="1" t="str">
        <f t="shared" si="5"/>
        <v>2020/05/09</v>
      </c>
      <c r="B105" s="1" t="str">
        <f>"05:00"</f>
        <v>05:00</v>
      </c>
      <c r="C105" s="2"/>
      <c r="D105" s="2">
        <f>0.99245095</f>
        <v>0.99245095000000005</v>
      </c>
      <c r="E105" s="2">
        <f>0.98292285</f>
        <v>0.98292285000000001</v>
      </c>
      <c r="F105" s="2"/>
      <c r="G105" s="2">
        <f>0.8688524</f>
        <v>0.86885239999999997</v>
      </c>
      <c r="H105" s="2"/>
      <c r="I105" s="2">
        <f>17.536516</f>
        <v>17.536515999999999</v>
      </c>
      <c r="J105" s="2"/>
      <c r="K105" s="2">
        <f>18.868805</f>
        <v>18.868804999999998</v>
      </c>
      <c r="L105" s="5"/>
      <c r="M105" s="6">
        <v>0.85407966000000002</v>
      </c>
      <c r="N105" s="2"/>
      <c r="O105" s="2">
        <f>66.28448</f>
        <v>66.284480000000002</v>
      </c>
      <c r="P105" s="2">
        <f>62.649677</f>
        <v>62.649676999999997</v>
      </c>
    </row>
    <row r="106" spans="1:16" ht="17">
      <c r="A106" s="1" t="str">
        <f t="shared" si="5"/>
        <v>2020/05/09</v>
      </c>
      <c r="B106" s="1" t="str">
        <f>"06:00"</f>
        <v>06:00</v>
      </c>
      <c r="C106" s="2"/>
      <c r="D106" s="2">
        <f>0.9905697</f>
        <v>0.9905697</v>
      </c>
      <c r="E106" s="2">
        <f>1.019841</f>
        <v>1.019841</v>
      </c>
      <c r="F106" s="2"/>
      <c r="G106" s="2">
        <f>1.3564746</f>
        <v>1.3564746000000001</v>
      </c>
      <c r="H106" s="2"/>
      <c r="I106" s="2">
        <f>30.440514</f>
        <v>30.440514</v>
      </c>
      <c r="J106" s="2"/>
      <c r="K106" s="2">
        <f>32.52058</f>
        <v>32.520580000000002</v>
      </c>
      <c r="L106" s="5"/>
      <c r="M106" s="6">
        <v>0.88109904999999999</v>
      </c>
      <c r="N106" s="2"/>
      <c r="O106" s="2">
        <f>63.824463</f>
        <v>63.824463000000002</v>
      </c>
      <c r="P106" s="2">
        <f>49.01302</f>
        <v>49.013019999999997</v>
      </c>
    </row>
    <row r="107" spans="1:16" ht="17">
      <c r="A107" s="1" t="str">
        <f t="shared" si="5"/>
        <v>2020/05/09</v>
      </c>
      <c r="B107" s="1" t="str">
        <f>"07:00"</f>
        <v>07:00</v>
      </c>
      <c r="C107" s="2"/>
      <c r="D107" s="2">
        <f>1.0014828</f>
        <v>1.0014828</v>
      </c>
      <c r="E107" s="2">
        <f>1.0890034</f>
        <v>1.0890034</v>
      </c>
      <c r="F107" s="2"/>
      <c r="G107" s="2">
        <f>3.9789233</f>
        <v>3.9789232999999999</v>
      </c>
      <c r="H107" s="2"/>
      <c r="I107" s="2">
        <f>41.29958</f>
        <v>41.299579999999999</v>
      </c>
      <c r="J107" s="2"/>
      <c r="K107" s="2">
        <f>47.400215</f>
        <v>47.400215000000003</v>
      </c>
      <c r="L107" s="5"/>
      <c r="M107" s="6">
        <v>1.0283777999999999</v>
      </c>
      <c r="N107" s="2"/>
      <c r="O107" s="2">
        <f>61.140095</f>
        <v>61.140095000000002</v>
      </c>
      <c r="P107" s="2">
        <f>41.863037</f>
        <v>41.863036999999998</v>
      </c>
    </row>
    <row r="108" spans="1:16" ht="17">
      <c r="A108" s="1" t="str">
        <f t="shared" si="5"/>
        <v>2020/05/09</v>
      </c>
      <c r="B108" s="1" t="str">
        <f>"08:00"</f>
        <v>08:00</v>
      </c>
      <c r="C108" s="2"/>
      <c r="D108" s="2">
        <f>1.02198</f>
        <v>1.0219800000000001</v>
      </c>
      <c r="E108" s="2">
        <f>1.1673992</f>
        <v>1.1673992</v>
      </c>
      <c r="F108" s="2"/>
      <c r="G108" s="2">
        <f>7.5955267</f>
        <v>7.5955266999999997</v>
      </c>
      <c r="H108" s="2"/>
      <c r="I108" s="2">
        <f>37.583424</f>
        <v>37.583424000000001</v>
      </c>
      <c r="J108" s="2"/>
      <c r="K108" s="2">
        <f>49.229362</f>
        <v>49.229362000000002</v>
      </c>
      <c r="L108" s="5"/>
      <c r="M108" s="6">
        <v>1.1241737999999999</v>
      </c>
      <c r="N108" s="2"/>
      <c r="O108" s="2">
        <f>58.741287</f>
        <v>58.741287</v>
      </c>
      <c r="P108" s="2">
        <f>48.520164</f>
        <v>48.520164000000001</v>
      </c>
    </row>
    <row r="109" spans="1:16" ht="17">
      <c r="A109" s="1" t="str">
        <f t="shared" si="5"/>
        <v>2020/05/09</v>
      </c>
      <c r="B109" s="1" t="str">
        <f>"09:00"</f>
        <v>09:00</v>
      </c>
      <c r="C109" s="2"/>
      <c r="D109" s="2">
        <f>1.0556675</f>
        <v>1.0556675</v>
      </c>
      <c r="E109" s="2">
        <f>1.2600918</f>
        <v>1.2600918000000001</v>
      </c>
      <c r="F109" s="2"/>
      <c r="G109" s="2">
        <f>7.1198683</f>
        <v>7.1198683000000003</v>
      </c>
      <c r="H109" s="2"/>
      <c r="I109" s="2">
        <f>25.377203</f>
        <v>25.377203000000002</v>
      </c>
      <c r="J109" s="2"/>
      <c r="K109" s="2">
        <f>36.293476</f>
        <v>36.293475999999998</v>
      </c>
      <c r="L109" s="5"/>
      <c r="M109" s="6">
        <v>0.9720974</v>
      </c>
      <c r="N109" s="2"/>
      <c r="O109" s="2">
        <f>59.817863</f>
        <v>59.817863000000003</v>
      </c>
      <c r="P109" s="2">
        <f>73.764786</f>
        <v>73.764786000000001</v>
      </c>
    </row>
    <row r="110" spans="1:16" ht="17">
      <c r="A110" s="1" t="str">
        <f t="shared" si="5"/>
        <v>2020/05/09</v>
      </c>
      <c r="B110" s="1" t="str">
        <f>"10:00"</f>
        <v>10:00</v>
      </c>
      <c r="C110" s="2"/>
      <c r="D110" s="2">
        <f>1.0816635</f>
        <v>1.0816635000000001</v>
      </c>
      <c r="E110" s="2">
        <f>1.1867427</f>
        <v>1.1867426999999999</v>
      </c>
      <c r="F110" s="2"/>
      <c r="G110" s="2">
        <f>6.506296</f>
        <v>6.5062959999999999</v>
      </c>
      <c r="H110" s="2"/>
      <c r="I110" s="2">
        <f>21.019564</f>
        <v>21.019563999999999</v>
      </c>
      <c r="J110" s="2"/>
      <c r="K110" s="2">
        <f>30.996069</f>
        <v>30.996068999999999</v>
      </c>
      <c r="L110" s="5"/>
      <c r="M110" s="6">
        <v>1.0584530999999999</v>
      </c>
      <c r="N110" s="2"/>
      <c r="O110" s="2">
        <f>63.04002</f>
        <v>63.040019999999998</v>
      </c>
      <c r="P110" s="2">
        <f>95.20042</f>
        <v>95.200419999999994</v>
      </c>
    </row>
    <row r="111" spans="1:16" ht="17">
      <c r="A111" s="1" t="str">
        <f t="shared" si="5"/>
        <v>2020/05/09</v>
      </c>
      <c r="B111" s="1" t="str">
        <f>"11:00"</f>
        <v>11:00</v>
      </c>
      <c r="C111" s="2"/>
      <c r="D111" s="2">
        <f>1.1045458</f>
        <v>1.1045457999999999</v>
      </c>
      <c r="E111" s="2">
        <f>1.1593924</f>
        <v>1.1593924</v>
      </c>
      <c r="F111" s="2"/>
      <c r="G111" s="2">
        <f>7.063428</f>
        <v>7.063428</v>
      </c>
      <c r="H111" s="2"/>
      <c r="I111" s="2">
        <f>23.36472</f>
        <v>23.364719999999998</v>
      </c>
      <c r="J111" s="2"/>
      <c r="K111" s="2">
        <f>34.195007</f>
        <v>34.195006999999997</v>
      </c>
      <c r="L111" s="5"/>
      <c r="M111" s="6">
        <v>1.0955231999999999</v>
      </c>
      <c r="N111" s="2"/>
      <c r="O111" s="2">
        <f>66.84009</f>
        <v>66.840090000000004</v>
      </c>
      <c r="P111" s="2">
        <f>96.6002</f>
        <v>96.600200000000001</v>
      </c>
    </row>
    <row r="112" spans="1:16" ht="17">
      <c r="A112" s="1" t="str">
        <f t="shared" si="5"/>
        <v>2020/05/09</v>
      </c>
      <c r="B112" s="1" t="str">
        <f>"12:00"</f>
        <v>12:00</v>
      </c>
      <c r="C112" s="2"/>
      <c r="D112" s="2">
        <f>1.1173593</f>
        <v>1.1173592999999999</v>
      </c>
      <c r="E112" s="2">
        <f>1.0734806</f>
        <v>1.0734805999999999</v>
      </c>
      <c r="F112" s="2"/>
      <c r="G112" s="2">
        <f>6.5449924</f>
        <v>6.5449923999999999</v>
      </c>
      <c r="H112" s="2"/>
      <c r="I112" s="2">
        <f>18.119184</f>
        <v>18.119184000000001</v>
      </c>
      <c r="J112" s="2"/>
      <c r="K112" s="2">
        <f>27.701828</f>
        <v>27.701827999999999</v>
      </c>
      <c r="L112" s="5"/>
      <c r="M112" s="6">
        <v>1.3180282999999999</v>
      </c>
      <c r="N112" s="2"/>
      <c r="O112" s="2">
        <f>71.58651</f>
        <v>71.586510000000004</v>
      </c>
      <c r="P112" s="2">
        <f>105.080765</f>
        <v>105.080765</v>
      </c>
    </row>
    <row r="113" spans="1:16" ht="17">
      <c r="A113" s="1" t="str">
        <f t="shared" si="5"/>
        <v>2020/05/09</v>
      </c>
      <c r="B113" s="1" t="str">
        <f>"13:00"</f>
        <v>13:00</v>
      </c>
      <c r="C113" s="2"/>
      <c r="D113" s="2">
        <f>1.1282015</f>
        <v>1.1282015000000001</v>
      </c>
      <c r="E113" s="2">
        <f>1.0696604</f>
        <v>1.0696604000000001</v>
      </c>
      <c r="F113" s="2"/>
      <c r="G113" s="2">
        <f>3.55533</f>
        <v>3.5553300000000001</v>
      </c>
      <c r="H113" s="2"/>
      <c r="I113" s="2">
        <f>13.7724695</f>
        <v>13.7724695</v>
      </c>
      <c r="J113" s="2"/>
      <c r="K113" s="2">
        <f>19.211258</f>
        <v>19.211258000000001</v>
      </c>
      <c r="L113" s="5"/>
      <c r="M113" s="6">
        <v>1.2574183999999999</v>
      </c>
      <c r="N113" s="2"/>
      <c r="O113" s="2">
        <f>78.66703</f>
        <v>78.667029999999997</v>
      </c>
      <c r="P113" s="2">
        <f>119.29385</f>
        <v>119.29385000000001</v>
      </c>
    </row>
    <row r="114" spans="1:16" ht="17">
      <c r="A114" s="1" t="str">
        <f t="shared" si="5"/>
        <v>2020/05/09</v>
      </c>
      <c r="B114" s="1" t="str">
        <f>"14:00"</f>
        <v>14:00</v>
      </c>
      <c r="C114" s="2"/>
      <c r="D114" s="2">
        <f>1.1307017</f>
        <v>1.1307016999999999</v>
      </c>
      <c r="E114" s="2">
        <f>1.039843</f>
        <v>1.0398430000000001</v>
      </c>
      <c r="F114" s="2"/>
      <c r="G114" s="2">
        <f>2.2796226</f>
        <v>2.2796226000000002</v>
      </c>
      <c r="H114" s="2"/>
      <c r="I114" s="2">
        <f>6.9899325</f>
        <v>6.9899325000000001</v>
      </c>
      <c r="J114" s="2"/>
      <c r="K114" s="2">
        <f>10.483937</f>
        <v>10.483936999999999</v>
      </c>
      <c r="L114" s="5"/>
      <c r="M114" s="6">
        <v>1.1343006</v>
      </c>
      <c r="N114" s="2"/>
      <c r="O114" s="2">
        <f>87.94409</f>
        <v>87.944090000000003</v>
      </c>
      <c r="P114" s="2">
        <f>123.229485</f>
        <v>123.229485</v>
      </c>
    </row>
    <row r="115" spans="1:16" ht="17">
      <c r="A115" s="1" t="str">
        <f t="shared" si="5"/>
        <v>2020/05/09</v>
      </c>
      <c r="B115" s="1" t="str">
        <f>"15:00"</f>
        <v>15:00</v>
      </c>
      <c r="C115" s="2"/>
      <c r="D115" s="2">
        <f>1.1265221</f>
        <v>1.1265221000000001</v>
      </c>
      <c r="E115" s="2">
        <f>1.0555662</f>
        <v>1.0555661999999999</v>
      </c>
      <c r="F115" s="2"/>
      <c r="G115" s="2">
        <f>1.6189152</f>
        <v>1.6189152</v>
      </c>
      <c r="H115" s="2"/>
      <c r="I115" s="2">
        <f>5.6652393</f>
        <v>5.6652392999999996</v>
      </c>
      <c r="J115" s="2"/>
      <c r="K115" s="2">
        <f>8.103743</f>
        <v>8.1037429999999997</v>
      </c>
      <c r="L115" s="5"/>
      <c r="M115" s="6">
        <v>1.1826793</v>
      </c>
      <c r="N115" s="2"/>
      <c r="O115" s="2">
        <f>98.59197</f>
        <v>98.591970000000003</v>
      </c>
      <c r="P115" s="2">
        <f>127.046135</f>
        <v>127.04613500000001</v>
      </c>
    </row>
    <row r="116" spans="1:16" ht="17">
      <c r="A116" s="1" t="str">
        <f t="shared" si="5"/>
        <v>2020/05/09</v>
      </c>
      <c r="B116" s="1" t="str">
        <f>"16:00"</f>
        <v>16:00</v>
      </c>
      <c r="C116" s="2"/>
      <c r="D116" s="2">
        <f>1.1088208</f>
        <v>1.1088207999999999</v>
      </c>
      <c r="E116" s="2">
        <f>1.025789</f>
        <v>1.0257890000000001</v>
      </c>
      <c r="F116" s="2"/>
      <c r="G116" s="2">
        <f>1.4584678</f>
        <v>1.4584678</v>
      </c>
      <c r="H116" s="2"/>
      <c r="I116" s="2">
        <f>6.3660407</f>
        <v>6.3660407000000001</v>
      </c>
      <c r="J116" s="2"/>
      <c r="K116" s="2">
        <f>8.602222</f>
        <v>8.6022219999999994</v>
      </c>
      <c r="L116" s="5"/>
      <c r="M116" s="6">
        <v>1.0099221</v>
      </c>
      <c r="N116" s="2"/>
      <c r="O116" s="2">
        <f>109.029495</f>
        <v>109.029495</v>
      </c>
      <c r="P116" s="2">
        <f>132.0203</f>
        <v>132.02029999999999</v>
      </c>
    </row>
    <row r="117" spans="1:16" ht="17">
      <c r="A117" s="1" t="str">
        <f t="shared" si="5"/>
        <v>2020/05/09</v>
      </c>
      <c r="B117" s="1" t="str">
        <f>"17:00"</f>
        <v>17:00</v>
      </c>
      <c r="C117" s="2"/>
      <c r="D117" s="2">
        <f>1.0758469</f>
        <v>1.0758468999999999</v>
      </c>
      <c r="E117" s="2">
        <f>0.9963014</f>
        <v>0.9963014</v>
      </c>
      <c r="F117" s="2"/>
      <c r="G117" s="2">
        <f>1.3163218</f>
        <v>1.3163218000000001</v>
      </c>
      <c r="H117" s="2"/>
      <c r="I117" s="2">
        <f>5.6815867</f>
        <v>5.6815867000000004</v>
      </c>
      <c r="J117" s="2"/>
      <c r="K117" s="2">
        <f>7.6998796</f>
        <v>7.6998796</v>
      </c>
      <c r="L117" s="5"/>
      <c r="M117" s="6">
        <v>1.1066502</v>
      </c>
      <c r="N117" s="2"/>
      <c r="O117" s="2">
        <f>116.12845</f>
        <v>116.12845</v>
      </c>
      <c r="P117" s="2">
        <f>130.55641</f>
        <v>130.55641</v>
      </c>
    </row>
    <row r="118" spans="1:16" ht="17">
      <c r="A118" s="1" t="str">
        <f t="shared" si="5"/>
        <v>2020/05/09</v>
      </c>
      <c r="B118" s="1" t="str">
        <f>"18:00"</f>
        <v>18:00</v>
      </c>
      <c r="C118" s="2"/>
      <c r="D118" s="2">
        <f>1.0550318</f>
        <v>1.0550318000000001</v>
      </c>
      <c r="E118" s="2">
        <f>1.0202212</f>
        <v>1.0202211999999999</v>
      </c>
      <c r="F118" s="2"/>
      <c r="G118" s="2">
        <f>1.881245</f>
        <v>1.8812450000000001</v>
      </c>
      <c r="H118" s="2"/>
      <c r="I118" s="2">
        <f>7.7225976</f>
        <v>7.7225976000000003</v>
      </c>
      <c r="J118" s="2"/>
      <c r="K118" s="2">
        <f>10.606946</f>
        <v>10.606946000000001</v>
      </c>
      <c r="L118" s="5"/>
      <c r="M118" s="6">
        <v>0.96471410000000002</v>
      </c>
      <c r="N118" s="2"/>
      <c r="O118" s="2">
        <f>119.756</f>
        <v>119.756</v>
      </c>
      <c r="P118" s="2">
        <f>124.22085</f>
        <v>124.22085</v>
      </c>
    </row>
    <row r="119" spans="1:16" ht="17">
      <c r="A119" s="1" t="str">
        <f t="shared" si="5"/>
        <v>2020/05/09</v>
      </c>
      <c r="B119" s="1" t="str">
        <f>"19:00"</f>
        <v>19:00</v>
      </c>
      <c r="C119" s="2"/>
      <c r="D119" s="2">
        <f>1.0402995</f>
        <v>1.0402994999999999</v>
      </c>
      <c r="E119" s="2">
        <f>1.0415347</f>
        <v>1.0415346999999999</v>
      </c>
      <c r="F119" s="2"/>
      <c r="G119" s="2">
        <f>2.4000757</f>
        <v>2.4000756999999999</v>
      </c>
      <c r="H119" s="2"/>
      <c r="I119" s="2">
        <f>15.201744</f>
        <v>15.201744</v>
      </c>
      <c r="J119" s="2"/>
      <c r="K119" s="2">
        <f>18.88161</f>
        <v>18.881609999999998</v>
      </c>
      <c r="L119" s="5"/>
      <c r="M119" s="6">
        <v>0.97792049999999997</v>
      </c>
      <c r="N119" s="2"/>
      <c r="O119" s="2">
        <f>121.91047</f>
        <v>121.91047</v>
      </c>
      <c r="P119" s="2">
        <f>113.83598</f>
        <v>113.83598000000001</v>
      </c>
    </row>
    <row r="120" spans="1:16" ht="17">
      <c r="A120" s="1" t="str">
        <f t="shared" si="5"/>
        <v>2020/05/09</v>
      </c>
      <c r="B120" s="1" t="str">
        <f>"20:00"</f>
        <v>20:00</v>
      </c>
      <c r="C120" s="2"/>
      <c r="D120" s="2">
        <f>1.0401804</f>
        <v>1.0401803999999999</v>
      </c>
      <c r="E120" s="2">
        <f>1.0725276</f>
        <v>1.0725275999999999</v>
      </c>
      <c r="F120" s="2"/>
      <c r="G120" s="2">
        <f>2.751316</f>
        <v>2.7513160000000001</v>
      </c>
      <c r="H120" s="2"/>
      <c r="I120" s="2">
        <f>23.607975</f>
        <v>23.607975</v>
      </c>
      <c r="J120" s="2"/>
      <c r="K120" s="2">
        <f>27.826157</f>
        <v>27.826156999999998</v>
      </c>
      <c r="L120" s="5"/>
      <c r="M120" s="6">
        <v>0.98524330000000004</v>
      </c>
      <c r="N120" s="2"/>
      <c r="O120" s="2">
        <f>120.48834</f>
        <v>120.48833999999999</v>
      </c>
      <c r="P120" s="2">
        <f>93.70375</f>
        <v>93.703749999999999</v>
      </c>
    </row>
    <row r="121" spans="1:16" ht="17">
      <c r="A121" s="1" t="str">
        <f t="shared" si="5"/>
        <v>2020/05/09</v>
      </c>
      <c r="B121" s="1" t="str">
        <f>"21:00"</f>
        <v>21:00</v>
      </c>
      <c r="C121" s="2"/>
      <c r="D121" s="2">
        <f>1.0379461</f>
        <v>1.0379461000000001</v>
      </c>
      <c r="E121" s="2">
        <f>1.0517861</f>
        <v>1.0517860999999999</v>
      </c>
      <c r="F121" s="2"/>
      <c r="G121" s="2">
        <f>2.6725802</f>
        <v>2.6725802000000001</v>
      </c>
      <c r="H121" s="2"/>
      <c r="I121" s="2">
        <f>19.17869</f>
        <v>19.17869</v>
      </c>
      <c r="J121" s="2"/>
      <c r="K121" s="2">
        <f>23.09329</f>
        <v>23.09329</v>
      </c>
      <c r="L121" s="5"/>
      <c r="M121" s="6">
        <v>1.0996071000000001</v>
      </c>
      <c r="N121" s="2"/>
      <c r="O121" s="2">
        <f>117.49646</f>
        <v>117.49646</v>
      </c>
      <c r="P121" s="2">
        <f>95.35877</f>
        <v>95.358770000000007</v>
      </c>
    </row>
    <row r="122" spans="1:16" ht="17">
      <c r="A122" s="1" t="str">
        <f t="shared" si="5"/>
        <v>2020/05/09</v>
      </c>
      <c r="B122" s="1" t="str">
        <f>"22:00"</f>
        <v>22:00</v>
      </c>
      <c r="C122" s="2"/>
      <c r="D122" s="2">
        <f>1.0331426</f>
        <v>1.0331425999999999</v>
      </c>
      <c r="E122" s="2">
        <f>1.0014138</f>
        <v>1.0014137999999999</v>
      </c>
      <c r="F122" s="2"/>
      <c r="G122" s="2">
        <f>1.2136742</f>
        <v>1.2136742</v>
      </c>
      <c r="H122" s="2"/>
      <c r="I122" s="2">
        <f>14.436843</f>
        <v>14.436843</v>
      </c>
      <c r="J122" s="2"/>
      <c r="K122" s="2">
        <f>16.297787</f>
        <v>16.297787</v>
      </c>
      <c r="L122" s="5"/>
      <c r="M122" s="6">
        <v>1.1089713999999999</v>
      </c>
      <c r="N122" s="2"/>
      <c r="O122" s="2">
        <f>114.3332</f>
        <v>114.33320000000001</v>
      </c>
      <c r="P122" s="2">
        <f>97.92338</f>
        <v>97.923379999999995</v>
      </c>
    </row>
    <row r="123" spans="1:16" ht="17">
      <c r="A123" s="1" t="str">
        <f t="shared" si="5"/>
        <v>2020/05/09</v>
      </c>
      <c r="B123" s="1" t="str">
        <f>"23:00"</f>
        <v>23:00</v>
      </c>
      <c r="C123" s="2"/>
      <c r="D123" s="2">
        <f>1.0234755</f>
        <v>1.0234755</v>
      </c>
      <c r="E123" s="2">
        <f>0.97823</f>
        <v>0.97823000000000004</v>
      </c>
      <c r="F123" s="2"/>
      <c r="G123" s="2">
        <f>1.0571005</f>
        <v>1.0571005</v>
      </c>
      <c r="H123" s="2"/>
      <c r="I123" s="2">
        <f>12.30615</f>
        <v>12.306150000000001</v>
      </c>
      <c r="J123" s="2"/>
      <c r="K123" s="2">
        <f>13.927043</f>
        <v>13.927042999999999</v>
      </c>
      <c r="L123" s="5"/>
      <c r="M123" s="6">
        <v>1.139567</v>
      </c>
      <c r="N123" s="2"/>
      <c r="O123" s="2">
        <f>110.43919</f>
        <v>110.43919</v>
      </c>
      <c r="P123" s="2">
        <f>95.89411</f>
        <v>95.894109999999998</v>
      </c>
    </row>
    <row r="124" spans="1:16" ht="17">
      <c r="A124" s="1" t="str">
        <f t="shared" si="5"/>
        <v>2020/05/09</v>
      </c>
      <c r="B124" s="1" t="str">
        <f>"24:00"</f>
        <v>24:00</v>
      </c>
      <c r="C124" s="2"/>
      <c r="D124" s="2">
        <f>1.0168078</f>
        <v>1.0168078</v>
      </c>
      <c r="E124" s="2">
        <f>0.97244745</f>
        <v>0.97244744999999999</v>
      </c>
      <c r="F124" s="2"/>
      <c r="G124" s="2">
        <f>1.1126958</f>
        <v>1.1126958</v>
      </c>
      <c r="H124" s="2"/>
      <c r="I124" s="2">
        <f>13.700431</f>
        <v>13.700431</v>
      </c>
      <c r="J124" s="2"/>
      <c r="K124" s="2">
        <f>15.406874</f>
        <v>15.406874</v>
      </c>
      <c r="L124" s="5"/>
      <c r="M124" s="6">
        <v>1.2806660000000001</v>
      </c>
      <c r="N124" s="2"/>
      <c r="O124" s="2">
        <f>105.54315</f>
        <v>105.54315</v>
      </c>
      <c r="P124" s="2">
        <f>92.85199</f>
        <v>92.851990000000001</v>
      </c>
    </row>
    <row r="125" spans="1:16" ht="17">
      <c r="A125" s="1" t="str">
        <f t="shared" ref="A125:A148" si="6">"2020/05/10"</f>
        <v>2020/05/10</v>
      </c>
      <c r="B125" s="1" t="str">
        <f>"01:00"</f>
        <v>01:00</v>
      </c>
      <c r="C125" s="2">
        <f>1.0391158</f>
        <v>1.0391158</v>
      </c>
      <c r="D125" s="2">
        <f>1.0157565</f>
        <v>1.0157565</v>
      </c>
      <c r="E125" s="2">
        <f>0.9878909</f>
        <v>0.98789090000000002</v>
      </c>
      <c r="F125" s="2">
        <f>2.0126846</f>
        <v>2.0126846</v>
      </c>
      <c r="G125" s="2">
        <f>0.9537847</f>
        <v>0.95378470000000004</v>
      </c>
      <c r="H125" s="2">
        <f>12.383335</f>
        <v>12.383335000000001</v>
      </c>
      <c r="I125" s="2">
        <f>12.137474</f>
        <v>12.137473999999999</v>
      </c>
      <c r="J125" s="2">
        <f>15.365013</f>
        <v>15.365012999999999</v>
      </c>
      <c r="K125" s="2">
        <f>13.599956</f>
        <v>13.599956000000001</v>
      </c>
      <c r="L125" s="5">
        <v>0.86186030000000002</v>
      </c>
      <c r="M125" s="6">
        <v>1.0178984</v>
      </c>
      <c r="N125" s="2">
        <f>76.122635</f>
        <v>76.122635000000002</v>
      </c>
      <c r="O125" s="2">
        <f>99.98604</f>
        <v>99.986040000000003</v>
      </c>
      <c r="P125" s="2">
        <f>86.099464</f>
        <v>86.099463999999998</v>
      </c>
    </row>
    <row r="126" spans="1:16" ht="17">
      <c r="A126" s="1" t="str">
        <f t="shared" si="6"/>
        <v>2020/05/10</v>
      </c>
      <c r="B126" s="1" t="str">
        <f>"02:00"</f>
        <v>02:00</v>
      </c>
      <c r="C126" s="2"/>
      <c r="D126" s="2">
        <f>1.0128201</f>
        <v>1.0128200999999999</v>
      </c>
      <c r="E126" s="2">
        <f>0.9967304</f>
        <v>0.99673040000000002</v>
      </c>
      <c r="F126" s="2"/>
      <c r="G126" s="2">
        <f>0.686081</f>
        <v>0.68608100000000005</v>
      </c>
      <c r="H126" s="2"/>
      <c r="I126" s="2">
        <f>12.741505</f>
        <v>12.741505</v>
      </c>
      <c r="J126" s="2"/>
      <c r="K126" s="2">
        <f>13.793806</f>
        <v>13.793806</v>
      </c>
      <c r="L126" s="5"/>
      <c r="M126" s="6">
        <v>1.0448606</v>
      </c>
      <c r="N126" s="2"/>
      <c r="O126" s="2">
        <f>94.49727</f>
        <v>94.49727</v>
      </c>
      <c r="P126" s="2">
        <f>80.3107</f>
        <v>80.310699999999997</v>
      </c>
    </row>
    <row r="127" spans="1:16" ht="17">
      <c r="A127" s="1" t="str">
        <f t="shared" si="6"/>
        <v>2020/05/10</v>
      </c>
      <c r="B127" s="1" t="str">
        <f>"03:00"</f>
        <v>03:00</v>
      </c>
      <c r="C127" s="2"/>
      <c r="D127" s="2">
        <f>1.0060083</f>
        <v>1.0060083</v>
      </c>
      <c r="E127" s="2">
        <f>0.98703945</f>
        <v>0.98703945000000004</v>
      </c>
      <c r="F127" s="2"/>
      <c r="G127" s="2">
        <f>0.6617432</f>
        <v>0.66174319999999998</v>
      </c>
      <c r="H127" s="2"/>
      <c r="I127" s="2">
        <f>13.0476675</f>
        <v>13.047667499999999</v>
      </c>
      <c r="J127" s="2"/>
      <c r="K127" s="2">
        <f>14.061392</f>
        <v>14.061392</v>
      </c>
      <c r="L127" s="5"/>
      <c r="M127" s="6">
        <v>0.93680660000000004</v>
      </c>
      <c r="N127" s="2"/>
      <c r="O127" s="2">
        <f>89.41004</f>
        <v>89.410039999999995</v>
      </c>
      <c r="P127" s="2">
        <f>73.13818</f>
        <v>73.138180000000006</v>
      </c>
    </row>
    <row r="128" spans="1:16" ht="17">
      <c r="A128" s="1" t="str">
        <f t="shared" si="6"/>
        <v>2020/05/10</v>
      </c>
      <c r="B128" s="1" t="str">
        <f>"04:00"</f>
        <v>04:00</v>
      </c>
      <c r="C128" s="2"/>
      <c r="D128" s="2">
        <f>1.0000865</f>
        <v>1.0000865000000001</v>
      </c>
      <c r="E128" s="2">
        <f>1.025154</f>
        <v>1.0251539999999999</v>
      </c>
      <c r="F128" s="2"/>
      <c r="G128" s="2">
        <f>0.7910697</f>
        <v>0.79106969999999999</v>
      </c>
      <c r="H128" s="2"/>
      <c r="I128" s="2">
        <f>14.282464</f>
        <v>14.282463999999999</v>
      </c>
      <c r="J128" s="2"/>
      <c r="K128" s="2">
        <f>15.495297</f>
        <v>15.495297000000001</v>
      </c>
      <c r="L128" s="5"/>
      <c r="M128" s="6">
        <v>0.77206427</v>
      </c>
      <c r="N128" s="2"/>
      <c r="O128" s="2">
        <f>85.44734</f>
        <v>85.447339999999997</v>
      </c>
      <c r="P128" s="2">
        <f>62.002106</f>
        <v>62.002105999999998</v>
      </c>
    </row>
    <row r="129" spans="1:16" ht="17">
      <c r="A129" s="1" t="str">
        <f t="shared" si="6"/>
        <v>2020/05/10</v>
      </c>
      <c r="B129" s="1" t="str">
        <f>"05:00"</f>
        <v>05:00</v>
      </c>
      <c r="C129" s="2"/>
      <c r="D129" s="2">
        <f>0.9948046</f>
        <v>0.99480460000000004</v>
      </c>
      <c r="E129" s="2">
        <f>1.0095311</f>
        <v>1.0095311</v>
      </c>
      <c r="F129" s="2"/>
      <c r="G129" s="2">
        <f>0.7544421</f>
        <v>0.7544421</v>
      </c>
      <c r="H129" s="2"/>
      <c r="I129" s="2">
        <f>13.057444</f>
        <v>13.057444</v>
      </c>
      <c r="J129" s="2"/>
      <c r="K129" s="2">
        <f>14.214158</f>
        <v>14.214157999999999</v>
      </c>
      <c r="L129" s="5"/>
      <c r="M129" s="6">
        <v>0.96828820000000004</v>
      </c>
      <c r="N129" s="2"/>
      <c r="O129" s="2">
        <f>81.65746</f>
        <v>81.65746</v>
      </c>
      <c r="P129" s="2">
        <f>65.03978</f>
        <v>65.039779999999993</v>
      </c>
    </row>
    <row r="130" spans="1:16" ht="17">
      <c r="A130" s="1" t="str">
        <f t="shared" si="6"/>
        <v>2020/05/10</v>
      </c>
      <c r="B130" s="1" t="str">
        <f>"06:00"</f>
        <v>06:00</v>
      </c>
      <c r="C130" s="2"/>
      <c r="D130" s="2">
        <f>0.999721</f>
        <v>0.99972099999999997</v>
      </c>
      <c r="E130" s="2">
        <f>1.0407445</f>
        <v>1.0407445</v>
      </c>
      <c r="F130" s="2"/>
      <c r="G130" s="2">
        <f>0.9922122</f>
        <v>0.99221219999999999</v>
      </c>
      <c r="H130" s="2"/>
      <c r="I130" s="2">
        <f>14.052766</f>
        <v>14.052766</v>
      </c>
      <c r="J130" s="2"/>
      <c r="K130" s="2">
        <f>15.574006</f>
        <v>15.574006000000001</v>
      </c>
      <c r="L130" s="5"/>
      <c r="M130" s="6">
        <v>0.95510879999999998</v>
      </c>
      <c r="N130" s="2"/>
      <c r="O130" s="2">
        <f>78.37706</f>
        <v>78.37706</v>
      </c>
      <c r="P130" s="2">
        <f>71.68017</f>
        <v>71.680170000000004</v>
      </c>
    </row>
    <row r="131" spans="1:16" ht="17">
      <c r="A131" s="1" t="str">
        <f t="shared" si="6"/>
        <v>2020/05/10</v>
      </c>
      <c r="B131" s="1" t="str">
        <f>"07:00"</f>
        <v>07:00</v>
      </c>
      <c r="C131" s="2"/>
      <c r="D131" s="2">
        <f>1.0195602</f>
        <v>1.0195601999999999</v>
      </c>
      <c r="E131" s="2">
        <f>1.1369435</f>
        <v>1.1369435000000001</v>
      </c>
      <c r="F131" s="2"/>
      <c r="G131" s="2">
        <f>3.0994837</f>
        <v>3.0994837</v>
      </c>
      <c r="H131" s="2"/>
      <c r="I131" s="2">
        <f>20.59422</f>
        <v>20.59422</v>
      </c>
      <c r="J131" s="2"/>
      <c r="K131" s="2">
        <f>25.346119</f>
        <v>25.346119000000002</v>
      </c>
      <c r="L131" s="5"/>
      <c r="M131" s="6">
        <v>0.9539086</v>
      </c>
      <c r="N131" s="2"/>
      <c r="O131" s="2">
        <f>73.77801</f>
        <v>73.778009999999995</v>
      </c>
      <c r="P131" s="2">
        <f>59.10166</f>
        <v>59.101660000000003</v>
      </c>
    </row>
    <row r="132" spans="1:16" ht="17">
      <c r="A132" s="1" t="str">
        <f t="shared" si="6"/>
        <v>2020/05/10</v>
      </c>
      <c r="B132" s="1" t="str">
        <f>"08:00"</f>
        <v>08:00</v>
      </c>
      <c r="C132" s="2"/>
      <c r="D132" s="2">
        <f>1.0420438</f>
        <v>1.0420438000000001</v>
      </c>
      <c r="E132" s="2">
        <f>1.1523168</f>
        <v>1.1523167999999999</v>
      </c>
      <c r="F132" s="2"/>
      <c r="G132" s="2">
        <f>3.2507527</f>
        <v>3.2507527000000001</v>
      </c>
      <c r="H132" s="2"/>
      <c r="I132" s="2">
        <f>23.57104</f>
        <v>23.57104</v>
      </c>
      <c r="J132" s="2"/>
      <c r="K132" s="2">
        <f>28.553967</f>
        <v>28.553967</v>
      </c>
      <c r="L132" s="5"/>
      <c r="M132" s="6">
        <v>0.89797020000000005</v>
      </c>
      <c r="N132" s="2"/>
      <c r="O132" s="2">
        <f>68.43422</f>
        <v>68.434219999999996</v>
      </c>
      <c r="P132" s="2">
        <f>50.101723</f>
        <v>50.101723</v>
      </c>
    </row>
    <row r="133" spans="1:16" ht="17">
      <c r="A133" s="1" t="str">
        <f t="shared" si="6"/>
        <v>2020/05/10</v>
      </c>
      <c r="B133" s="1" t="str">
        <f>"09:00"</f>
        <v>09:00</v>
      </c>
      <c r="C133" s="2"/>
      <c r="D133" s="2">
        <f>1.0636603</f>
        <v>1.0636603</v>
      </c>
      <c r="E133" s="2">
        <f>1.1608224</f>
        <v>1.1608224</v>
      </c>
      <c r="F133" s="2"/>
      <c r="G133" s="2">
        <f>3.595872</f>
        <v>3.595872</v>
      </c>
      <c r="H133" s="2"/>
      <c r="I133" s="2">
        <f>21.633142</f>
        <v>21.633141999999999</v>
      </c>
      <c r="J133" s="2"/>
      <c r="K133" s="2">
        <f>27.146778</f>
        <v>27.146778000000001</v>
      </c>
      <c r="L133" s="5"/>
      <c r="M133" s="6">
        <v>0.82494970000000001</v>
      </c>
      <c r="N133" s="2"/>
      <c r="O133" s="2">
        <f>64.03516</f>
        <v>64.035160000000005</v>
      </c>
      <c r="P133" s="2">
        <f>50.9069</f>
        <v>50.9069</v>
      </c>
    </row>
    <row r="134" spans="1:16" ht="17">
      <c r="A134" s="1" t="str">
        <f t="shared" si="6"/>
        <v>2020/05/10</v>
      </c>
      <c r="B134" s="1" t="str">
        <f>"10:00"</f>
        <v>10:00</v>
      </c>
      <c r="C134" s="2"/>
      <c r="D134" s="2">
        <f>1.082828</f>
        <v>1.0828279999999999</v>
      </c>
      <c r="E134" s="2">
        <f>1.1500729</f>
        <v>1.1500729000000001</v>
      </c>
      <c r="F134" s="2"/>
      <c r="G134" s="2">
        <f>2.602875</f>
        <v>2.602875</v>
      </c>
      <c r="H134" s="2"/>
      <c r="I134" s="2">
        <f>17.221516</f>
        <v>17.221516000000001</v>
      </c>
      <c r="J134" s="2"/>
      <c r="K134" s="2">
        <f>21.21257</f>
        <v>21.212569999999999</v>
      </c>
      <c r="L134" s="5"/>
      <c r="M134" s="6">
        <v>0.94249444999999998</v>
      </c>
      <c r="N134" s="2"/>
      <c r="O134" s="2">
        <f>61.438904</f>
        <v>61.438904000000001</v>
      </c>
      <c r="P134" s="2">
        <f>59.540726</f>
        <v>59.540725999999999</v>
      </c>
    </row>
    <row r="135" spans="1:16" ht="17">
      <c r="A135" s="1" t="str">
        <f t="shared" si="6"/>
        <v>2020/05/10</v>
      </c>
      <c r="B135" s="1" t="str">
        <f>"11:00"</f>
        <v>11:00</v>
      </c>
      <c r="C135" s="2"/>
      <c r="D135" s="2">
        <f>1.1132675</f>
        <v>1.1132675000000001</v>
      </c>
      <c r="E135" s="2">
        <f>1.230555</f>
        <v>1.2305550000000001</v>
      </c>
      <c r="F135" s="2"/>
      <c r="G135" s="2">
        <f>6.1910086</f>
        <v>6.1910086</v>
      </c>
      <c r="H135" s="2"/>
      <c r="I135" s="2">
        <f>20.070894</f>
        <v>20.070893999999999</v>
      </c>
      <c r="J135" s="2"/>
      <c r="K135" s="2">
        <f>29.56324</f>
        <v>29.56324</v>
      </c>
      <c r="L135" s="5"/>
      <c r="M135" s="6">
        <v>1.0344466999999999</v>
      </c>
      <c r="N135" s="2"/>
      <c r="O135" s="2">
        <f>59.583927</f>
        <v>59.583927000000003</v>
      </c>
      <c r="P135" s="2">
        <f>58.29835</f>
        <v>58.298349999999999</v>
      </c>
    </row>
    <row r="136" spans="1:16" ht="17">
      <c r="A136" s="1" t="str">
        <f t="shared" si="6"/>
        <v>2020/05/10</v>
      </c>
      <c r="B136" s="1" t="str">
        <f>"12:00"</f>
        <v>12:00</v>
      </c>
      <c r="C136" s="2"/>
      <c r="D136" s="2">
        <f>1.120316</f>
        <v>1.1203160000000001</v>
      </c>
      <c r="E136" s="2">
        <f>1.0815418</f>
        <v>1.0815418000000001</v>
      </c>
      <c r="F136" s="2"/>
      <c r="G136" s="2">
        <f>5.411962</f>
        <v>5.4119619999999999</v>
      </c>
      <c r="H136" s="2"/>
      <c r="I136" s="2">
        <f>11.951047</f>
        <v>11.951047000000001</v>
      </c>
      <c r="J136" s="2"/>
      <c r="K136" s="2">
        <f>19.379862</f>
        <v>19.379861999999999</v>
      </c>
      <c r="L136" s="5"/>
      <c r="M136" s="6">
        <v>0.76291907000000003</v>
      </c>
      <c r="N136" s="2"/>
      <c r="O136" s="2">
        <f>61.498775</f>
        <v>61.498775000000002</v>
      </c>
      <c r="P136" s="2">
        <f>77.32089</f>
        <v>77.320890000000006</v>
      </c>
    </row>
    <row r="137" spans="1:16" ht="17">
      <c r="A137" s="1" t="str">
        <f t="shared" si="6"/>
        <v>2020/05/10</v>
      </c>
      <c r="B137" s="1" t="str">
        <f>"13:00"</f>
        <v>13:00</v>
      </c>
      <c r="C137" s="2"/>
      <c r="D137" s="2">
        <f>1.1225083</f>
        <v>1.1225083</v>
      </c>
      <c r="E137" s="2">
        <f>1.027069</f>
        <v>1.027069</v>
      </c>
      <c r="F137" s="2"/>
      <c r="G137" s="2">
        <f>3.0970738</f>
        <v>3.0970738</v>
      </c>
      <c r="H137" s="2"/>
      <c r="I137" s="2">
        <f>8.816028</f>
        <v>8.8160279999999993</v>
      </c>
      <c r="J137" s="2"/>
      <c r="K137" s="2">
        <f>13.256839</f>
        <v>13.256838999999999</v>
      </c>
      <c r="L137" s="5"/>
      <c r="M137" s="6">
        <v>0.90244519999999995</v>
      </c>
      <c r="N137" s="2"/>
      <c r="O137" s="2">
        <f>64.3848</f>
        <v>64.384799999999998</v>
      </c>
      <c r="P137" s="2">
        <f>88.12802</f>
        <v>88.128020000000006</v>
      </c>
    </row>
    <row r="138" spans="1:16" ht="17">
      <c r="A138" s="1" t="str">
        <f t="shared" si="6"/>
        <v>2020/05/10</v>
      </c>
      <c r="B138" s="1" t="str">
        <f>"14:00"</f>
        <v>14:00</v>
      </c>
      <c r="C138" s="2"/>
      <c r="D138" s="2">
        <f>1.1206409</f>
        <v>1.1206408999999999</v>
      </c>
      <c r="E138" s="2">
        <f>1.025806</f>
        <v>1.025806</v>
      </c>
      <c r="F138" s="2"/>
      <c r="G138" s="2">
        <f>2.276111</f>
        <v>2.2761110000000002</v>
      </c>
      <c r="H138" s="2"/>
      <c r="I138" s="2">
        <f>5.9215946</f>
        <v>5.9215945999999997</v>
      </c>
      <c r="J138" s="2"/>
      <c r="K138" s="2">
        <f>8.091917</f>
        <v>8.0919170000000005</v>
      </c>
      <c r="L138" s="5"/>
      <c r="M138" s="6">
        <v>0.82124070000000005</v>
      </c>
      <c r="N138" s="2"/>
      <c r="O138" s="2">
        <f>67.68596</f>
        <v>67.685959999999994</v>
      </c>
      <c r="P138" s="2">
        <f>98.089424</f>
        <v>98.089423999999994</v>
      </c>
    </row>
    <row r="139" spans="1:16" ht="17">
      <c r="A139" s="1" t="str">
        <f t="shared" si="6"/>
        <v>2020/05/10</v>
      </c>
      <c r="B139" s="1" t="str">
        <f>"15:00"</f>
        <v>15:00</v>
      </c>
      <c r="C139" s="2"/>
      <c r="D139" s="2">
        <f>1.1070946</f>
        <v>1.1070945999999999</v>
      </c>
      <c r="E139" s="2">
        <f>1.0285736</f>
        <v>1.0285736000000001</v>
      </c>
      <c r="F139" s="2"/>
      <c r="G139" s="2">
        <f>1.3761578</f>
        <v>1.3761578000000001</v>
      </c>
      <c r="H139" s="2"/>
      <c r="I139" s="2">
        <f>10.123797</f>
        <v>10.123797</v>
      </c>
      <c r="J139" s="2"/>
      <c r="K139" s="2">
        <f>12.23391</f>
        <v>12.23391</v>
      </c>
      <c r="L139" s="5"/>
      <c r="M139" s="6">
        <v>0.73567919999999998</v>
      </c>
      <c r="N139" s="2"/>
      <c r="O139" s="2">
        <f>72.6899</f>
        <v>72.689899999999994</v>
      </c>
      <c r="P139" s="2">
        <f>99.13319</f>
        <v>99.133189999999999</v>
      </c>
    </row>
    <row r="140" spans="1:16" ht="17">
      <c r="A140" s="1" t="str">
        <f t="shared" si="6"/>
        <v>2020/05/10</v>
      </c>
      <c r="B140" s="1" t="str">
        <f>"16:00"</f>
        <v>16:00</v>
      </c>
      <c r="C140" s="2"/>
      <c r="D140" s="2">
        <f>1.0974921</f>
        <v>1.0974921</v>
      </c>
      <c r="E140" s="2">
        <f>1.0754957</f>
        <v>1.0754957000000001</v>
      </c>
      <c r="F140" s="2"/>
      <c r="G140" s="2">
        <f>1.5794383</f>
        <v>1.5794383000000001</v>
      </c>
      <c r="H140" s="2"/>
      <c r="I140" s="2">
        <f>11.235221</f>
        <v>11.235220999999999</v>
      </c>
      <c r="J140" s="2"/>
      <c r="K140" s="2">
        <f>13.652089</f>
        <v>13.652089</v>
      </c>
      <c r="L140" s="5"/>
      <c r="M140" s="6">
        <v>1.0568856</v>
      </c>
      <c r="N140" s="2"/>
      <c r="O140" s="2">
        <f>79.45605</f>
        <v>79.456050000000005</v>
      </c>
      <c r="P140" s="2">
        <f>104.23085</f>
        <v>104.23085</v>
      </c>
    </row>
    <row r="141" spans="1:16" ht="17">
      <c r="A141" s="1" t="str">
        <f t="shared" si="6"/>
        <v>2020/05/10</v>
      </c>
      <c r="B141" s="1" t="str">
        <f>"17:00"</f>
        <v>17:00</v>
      </c>
      <c r="C141" s="2"/>
      <c r="D141" s="2">
        <f>1.0802428</f>
        <v>1.0802427999999999</v>
      </c>
      <c r="E141" s="2">
        <f>1.0228279</f>
        <v>1.0228279</v>
      </c>
      <c r="F141" s="2"/>
      <c r="G141" s="2">
        <f>1.4219731</f>
        <v>1.4219731</v>
      </c>
      <c r="H141" s="2"/>
      <c r="I141" s="2">
        <f>9.185107</f>
        <v>9.1851070000000004</v>
      </c>
      <c r="J141" s="2"/>
      <c r="K141" s="2">
        <f>11.365367</f>
        <v>11.365367000000001</v>
      </c>
      <c r="L141" s="5"/>
      <c r="M141" s="6">
        <v>0.95153799999999999</v>
      </c>
      <c r="N141" s="2"/>
      <c r="O141" s="2">
        <f>84.41048</f>
        <v>84.410480000000007</v>
      </c>
      <c r="P141" s="2">
        <f>90.542366</f>
        <v>90.542366000000001</v>
      </c>
    </row>
    <row r="142" spans="1:16" ht="17">
      <c r="A142" s="1" t="str">
        <f t="shared" si="6"/>
        <v>2020/05/10</v>
      </c>
      <c r="B142" s="1" t="str">
        <f>"18:00"</f>
        <v>18:00</v>
      </c>
      <c r="C142" s="2"/>
      <c r="D142" s="2">
        <f>1.057282</f>
        <v>1.0572820000000001</v>
      </c>
      <c r="E142" s="2">
        <f>0.9663869</f>
        <v>0.96638690000000005</v>
      </c>
      <c r="F142" s="2"/>
      <c r="G142" s="2">
        <f>1.4677672</f>
        <v>1.4677671999999999</v>
      </c>
      <c r="H142" s="2"/>
      <c r="I142" s="2">
        <f>6.1329503</f>
        <v>6.1329503000000001</v>
      </c>
      <c r="J142" s="2"/>
      <c r="K142" s="2">
        <f>8.38344</f>
        <v>8.3834400000000002</v>
      </c>
      <c r="L142" s="5"/>
      <c r="M142" s="6">
        <v>0.61520266999999995</v>
      </c>
      <c r="N142" s="2"/>
      <c r="O142" s="2">
        <f>87.39481</f>
        <v>87.394810000000007</v>
      </c>
      <c r="P142" s="2">
        <f>83.4154</f>
        <v>83.415400000000005</v>
      </c>
    </row>
    <row r="143" spans="1:16" ht="17">
      <c r="A143" s="1" t="str">
        <f t="shared" si="6"/>
        <v>2020/05/10</v>
      </c>
      <c r="B143" s="1" t="str">
        <f>"19:00"</f>
        <v>19:00</v>
      </c>
      <c r="C143" s="2"/>
      <c r="D143" s="2">
        <f>1.0249856</f>
        <v>1.0249855999999999</v>
      </c>
      <c r="E143" s="2">
        <f>0.9721836</f>
        <v>0.97218360000000004</v>
      </c>
      <c r="F143" s="2"/>
      <c r="G143" s="2">
        <f>1.5872579</f>
        <v>1.5872579</v>
      </c>
      <c r="H143" s="2"/>
      <c r="I143" s="2">
        <f>7.578305</f>
        <v>7.5783050000000003</v>
      </c>
      <c r="J143" s="2"/>
      <c r="K143" s="2">
        <f>10.012091</f>
        <v>10.012091</v>
      </c>
      <c r="L143" s="5"/>
      <c r="M143" s="6">
        <v>0.87409930000000002</v>
      </c>
      <c r="N143" s="2"/>
      <c r="O143" s="2">
        <f>90.58258</f>
        <v>90.582579999999993</v>
      </c>
      <c r="P143" s="2">
        <f>83.80054</f>
        <v>83.800539999999998</v>
      </c>
    </row>
    <row r="144" spans="1:16" ht="17">
      <c r="A144" s="1" t="str">
        <f t="shared" si="6"/>
        <v>2020/05/10</v>
      </c>
      <c r="B144" s="1" t="str">
        <f>"20:00"</f>
        <v>20:00</v>
      </c>
      <c r="C144" s="2"/>
      <c r="D144" s="2">
        <f>1.0123266</f>
        <v>1.0123266</v>
      </c>
      <c r="E144" s="2">
        <f>0.9802702</f>
        <v>0.98027019999999998</v>
      </c>
      <c r="F144" s="2"/>
      <c r="G144" s="2">
        <f>1.8690369</f>
        <v>1.8690369</v>
      </c>
      <c r="H144" s="2"/>
      <c r="I144" s="2">
        <f>9.966433</f>
        <v>9.9664330000000003</v>
      </c>
      <c r="J144" s="2"/>
      <c r="K144" s="2">
        <f>12.832182</f>
        <v>12.832182</v>
      </c>
      <c r="L144" s="5"/>
      <c r="M144" s="6">
        <v>0.69618650000000004</v>
      </c>
      <c r="N144" s="2"/>
      <c r="O144" s="2">
        <f>90.638275</f>
        <v>90.638274999999993</v>
      </c>
      <c r="P144" s="2">
        <f>77.76642</f>
        <v>77.766419999999997</v>
      </c>
    </row>
    <row r="145" spans="1:16" ht="17">
      <c r="A145" s="1" t="str">
        <f t="shared" si="6"/>
        <v>2020/05/10</v>
      </c>
      <c r="B145" s="1" t="str">
        <f>"21:00"</f>
        <v>21:00</v>
      </c>
      <c r="C145" s="2"/>
      <c r="D145" s="2">
        <f>1.0077935</f>
        <v>1.0077935</v>
      </c>
      <c r="E145" s="2">
        <f>0.9908041</f>
        <v>0.99080409999999997</v>
      </c>
      <c r="F145" s="2"/>
      <c r="G145" s="2">
        <f>1.8696059</f>
        <v>1.8696059</v>
      </c>
      <c r="H145" s="2"/>
      <c r="I145" s="2">
        <f>11.821538</f>
        <v>11.821538</v>
      </c>
      <c r="J145" s="2"/>
      <c r="K145" s="2">
        <f>14.688361</f>
        <v>14.688361</v>
      </c>
      <c r="L145" s="5"/>
      <c r="M145" s="6">
        <v>0.50884090000000004</v>
      </c>
      <c r="N145" s="2"/>
      <c r="O145" s="2">
        <f>88.963875</f>
        <v>88.963875000000002</v>
      </c>
      <c r="P145" s="2">
        <f>74.732796</f>
        <v>74.732795999999993</v>
      </c>
    </row>
    <row r="146" spans="1:16" ht="17">
      <c r="A146" s="1" t="str">
        <f t="shared" si="6"/>
        <v>2020/05/10</v>
      </c>
      <c r="B146" s="1" t="str">
        <f>"22:00"</f>
        <v>22:00</v>
      </c>
      <c r="C146" s="2"/>
      <c r="D146" s="2">
        <f>1.0016135</f>
        <v>1.0016134999999999</v>
      </c>
      <c r="E146" s="2">
        <f>0.9763659</f>
        <v>0.97636590000000001</v>
      </c>
      <c r="F146" s="2"/>
      <c r="G146" s="2">
        <f>1.0542377</f>
        <v>1.0542377000000001</v>
      </c>
      <c r="H146" s="2"/>
      <c r="I146" s="2">
        <f>9.249705</f>
        <v>9.2497050000000005</v>
      </c>
      <c r="J146" s="2"/>
      <c r="K146" s="2">
        <f>10.8660555</f>
        <v>10.8660555</v>
      </c>
      <c r="L146" s="5"/>
      <c r="M146" s="6">
        <v>0.73983220000000005</v>
      </c>
      <c r="N146" s="2"/>
      <c r="O146" s="2">
        <f>86.3502</f>
        <v>86.350200000000001</v>
      </c>
      <c r="P146" s="2">
        <f>77.18004</f>
        <v>77.180040000000005</v>
      </c>
    </row>
    <row r="147" spans="1:16" ht="17">
      <c r="A147" s="1" t="str">
        <f t="shared" si="6"/>
        <v>2020/05/10</v>
      </c>
      <c r="B147" s="1" t="str">
        <f>"23:00"</f>
        <v>23:00</v>
      </c>
      <c r="C147" s="2"/>
      <c r="D147" s="2">
        <f>0.9935152</f>
        <v>0.99351520000000004</v>
      </c>
      <c r="E147" s="2">
        <f>0.96378744</f>
        <v>0.96378744000000005</v>
      </c>
      <c r="F147" s="2"/>
      <c r="G147" s="2">
        <f>0.9045611</f>
        <v>0.90456110000000001</v>
      </c>
      <c r="H147" s="2"/>
      <c r="I147" s="2">
        <f>7.5892015</f>
        <v>7.5892014999999997</v>
      </c>
      <c r="J147" s="2"/>
      <c r="K147" s="2">
        <f>8.976148</f>
        <v>8.9761480000000002</v>
      </c>
      <c r="L147" s="5"/>
      <c r="M147" s="6">
        <v>0.79574423999999999</v>
      </c>
      <c r="N147" s="2"/>
      <c r="O147" s="2">
        <f>83.6817</f>
        <v>83.681700000000006</v>
      </c>
      <c r="P147" s="2">
        <f>77.78522</f>
        <v>77.785219999999995</v>
      </c>
    </row>
    <row r="148" spans="1:16" ht="17">
      <c r="A148" s="1" t="str">
        <f t="shared" si="6"/>
        <v>2020/05/10</v>
      </c>
      <c r="B148" s="1" t="str">
        <f>"24:00"</f>
        <v>24:00</v>
      </c>
      <c r="C148" s="2"/>
      <c r="D148" s="2">
        <f>0.97781146</f>
        <v>0.97781145999999997</v>
      </c>
      <c r="E148" s="2">
        <f>0.94986564</f>
        <v>0.94986563999999996</v>
      </c>
      <c r="F148" s="2"/>
      <c r="G148" s="2">
        <f>0.80992305</f>
        <v>0.80992304999999998</v>
      </c>
      <c r="H148" s="2"/>
      <c r="I148" s="2">
        <f>5.218978</f>
        <v>5.2189779999999999</v>
      </c>
      <c r="J148" s="2"/>
      <c r="K148" s="2">
        <f>6.4607606</f>
        <v>6.4607606000000004</v>
      </c>
      <c r="L148" s="5"/>
      <c r="M148" s="6">
        <v>0.87523640000000003</v>
      </c>
      <c r="N148" s="2"/>
      <c r="O148" s="2">
        <f>80.47763</f>
        <v>80.477630000000005</v>
      </c>
      <c r="P148" s="2">
        <f>78.59827</f>
        <v>78.598269999999999</v>
      </c>
    </row>
    <row r="149" spans="1:16" ht="17">
      <c r="A149" s="1" t="str">
        <f t="shared" ref="A149:A172" si="7">"2020/05/11"</f>
        <v>2020/05/11</v>
      </c>
      <c r="B149" s="1" t="str">
        <f>"01:00"</f>
        <v>01:00</v>
      </c>
      <c r="C149" s="2">
        <f>0.98864555</f>
        <v>0.98864554999999998</v>
      </c>
      <c r="D149" s="2">
        <f>0.96806496</f>
        <v>0.96806495999999997</v>
      </c>
      <c r="E149" s="2">
        <f>0.9448561</f>
        <v>0.94485609999999998</v>
      </c>
      <c r="F149" s="2">
        <f>2.271787</f>
        <v>2.2717869999999998</v>
      </c>
      <c r="G149" s="2">
        <f>0.6639616</f>
        <v>0.66396160000000004</v>
      </c>
      <c r="H149" s="2">
        <f>11.128642</f>
        <v>11.128641999999999</v>
      </c>
      <c r="I149" s="2">
        <f>3.6722202</f>
        <v>3.6722201999999999</v>
      </c>
      <c r="J149" s="2">
        <f>14.513541</f>
        <v>14.513541</v>
      </c>
      <c r="K149" s="2">
        <f>4.690228</f>
        <v>4.6902280000000003</v>
      </c>
      <c r="L149" s="5">
        <v>0.72579020000000005</v>
      </c>
      <c r="M149" s="6">
        <v>0.69802165000000005</v>
      </c>
      <c r="N149" s="2">
        <f>77.779785</f>
        <v>77.779785000000004</v>
      </c>
      <c r="O149" s="2">
        <f>79.32732</f>
        <v>79.32732</v>
      </c>
      <c r="P149" s="2">
        <f>81.33989</f>
        <v>81.339889999999997</v>
      </c>
    </row>
    <row r="150" spans="1:16" ht="17">
      <c r="A150" s="1" t="str">
        <f t="shared" si="7"/>
        <v>2020/05/11</v>
      </c>
      <c r="B150" s="1" t="str">
        <f>"02:00"</f>
        <v>02:00</v>
      </c>
      <c r="C150" s="2"/>
      <c r="D150" s="2">
        <f>0.9658852</f>
        <v>0.9658852</v>
      </c>
      <c r="E150" s="2">
        <f>0.9489489</f>
        <v>0.94894889999999998</v>
      </c>
      <c r="F150" s="2"/>
      <c r="G150" s="2">
        <f>0.60883427</f>
        <v>0.60883427000000001</v>
      </c>
      <c r="H150" s="2"/>
      <c r="I150" s="2">
        <f>2.6417918</f>
        <v>2.6417918</v>
      </c>
      <c r="J150" s="2"/>
      <c r="K150" s="2">
        <f>3.5752945</f>
        <v>3.5752945</v>
      </c>
      <c r="L150" s="5"/>
      <c r="M150" s="6">
        <v>0.73299073999999997</v>
      </c>
      <c r="N150" s="2"/>
      <c r="O150" s="2">
        <f>79.331055</f>
        <v>79.331055000000006</v>
      </c>
      <c r="P150" s="2">
        <f>83.445274</f>
        <v>83.445273999999998</v>
      </c>
    </row>
    <row r="151" spans="1:16" ht="17">
      <c r="A151" s="1" t="str">
        <f t="shared" si="7"/>
        <v>2020/05/11</v>
      </c>
      <c r="B151" s="1" t="str">
        <f>"03:00"</f>
        <v>03:00</v>
      </c>
      <c r="C151" s="2"/>
      <c r="D151" s="2">
        <f>0.96263695</f>
        <v>0.96263695000000005</v>
      </c>
      <c r="E151" s="2">
        <f>0.94619715</f>
        <v>0.94619715000000004</v>
      </c>
      <c r="F151" s="2"/>
      <c r="G151" s="2">
        <f>0.61055464</f>
        <v>0.61055464000000004</v>
      </c>
      <c r="H151" s="2"/>
      <c r="I151" s="2">
        <f>2.9337304</f>
        <v>2.9337304</v>
      </c>
      <c r="J151" s="2"/>
      <c r="K151" s="2">
        <f>3.8699126</f>
        <v>3.8699126000000001</v>
      </c>
      <c r="L151" s="5"/>
      <c r="M151" s="6">
        <v>0.70294522999999998</v>
      </c>
      <c r="N151" s="2"/>
      <c r="O151" s="2">
        <f>79.22316</f>
        <v>79.223159999999993</v>
      </c>
      <c r="P151" s="2">
        <f>82.93738</f>
        <v>82.937380000000005</v>
      </c>
    </row>
    <row r="152" spans="1:16" ht="17">
      <c r="A152" s="1" t="str">
        <f t="shared" si="7"/>
        <v>2020/05/11</v>
      </c>
      <c r="B152" s="1" t="str">
        <f>"04:00"</f>
        <v>04:00</v>
      </c>
      <c r="C152" s="2"/>
      <c r="D152" s="2">
        <f>0.95888096</f>
        <v>0.95888096</v>
      </c>
      <c r="E152" s="2">
        <f>0.95022243</f>
        <v>0.95022242999999995</v>
      </c>
      <c r="F152" s="2"/>
      <c r="G152" s="2">
        <f>0.5793339</f>
        <v>0.57933389999999996</v>
      </c>
      <c r="H152" s="2"/>
      <c r="I152" s="2">
        <f>3.3782814</f>
        <v>3.3782814000000001</v>
      </c>
      <c r="J152" s="2"/>
      <c r="K152" s="2">
        <f>4.2666245</f>
        <v>4.2666244999999998</v>
      </c>
      <c r="L152" s="5"/>
      <c r="M152" s="6">
        <v>0.82285220000000003</v>
      </c>
      <c r="N152" s="2"/>
      <c r="O152" s="2">
        <f>79.70856</f>
        <v>79.708560000000006</v>
      </c>
      <c r="P152" s="2">
        <f>81.649574</f>
        <v>81.649574000000001</v>
      </c>
    </row>
    <row r="153" spans="1:16" ht="17">
      <c r="A153" s="1" t="str">
        <f t="shared" si="7"/>
        <v>2020/05/11</v>
      </c>
      <c r="B153" s="1" t="str">
        <f>"05:00"</f>
        <v>05:00</v>
      </c>
      <c r="C153" s="2"/>
      <c r="D153" s="2">
        <f>0.954028</f>
        <v>0.95402799999999999</v>
      </c>
      <c r="E153" s="2">
        <f>0.9519804</f>
        <v>0.95198039999999995</v>
      </c>
      <c r="F153" s="2"/>
      <c r="G153" s="2">
        <f>0.61928505</f>
        <v>0.61928505</v>
      </c>
      <c r="H153" s="2"/>
      <c r="I153" s="2">
        <f>5.3462324</f>
        <v>5.3462323999999999</v>
      </c>
      <c r="J153" s="2"/>
      <c r="K153" s="2">
        <f>6.2957773</f>
        <v>6.2957773000000001</v>
      </c>
      <c r="L153" s="5"/>
      <c r="M153" s="6">
        <v>0.71810322999999998</v>
      </c>
      <c r="N153" s="2"/>
      <c r="O153" s="2">
        <f>80.17907</f>
        <v>80.179069999999996</v>
      </c>
      <c r="P153" s="2">
        <f>78.4969</f>
        <v>78.496899999999997</v>
      </c>
    </row>
    <row r="154" spans="1:16" ht="17">
      <c r="A154" s="1" t="str">
        <f t="shared" si="7"/>
        <v>2020/05/11</v>
      </c>
      <c r="B154" s="1" t="str">
        <f>"06:00"</f>
        <v>06:00</v>
      </c>
      <c r="C154" s="2"/>
      <c r="D154" s="2">
        <f>0.95298976</f>
        <v>0.95298976000000002</v>
      </c>
      <c r="E154" s="2">
        <f>0.9680601</f>
        <v>0.96806009999999998</v>
      </c>
      <c r="F154" s="2"/>
      <c r="G154" s="2">
        <f>0.9393762</f>
        <v>0.93937619999999999</v>
      </c>
      <c r="H154" s="2"/>
      <c r="I154" s="2">
        <f>13.718048</f>
        <v>13.718048</v>
      </c>
      <c r="J154" s="2"/>
      <c r="K154" s="2">
        <f>15.158492</f>
        <v>15.158492000000001</v>
      </c>
      <c r="L154" s="5"/>
      <c r="M154" s="6">
        <v>0.73534759999999999</v>
      </c>
      <c r="N154" s="2"/>
      <c r="O154" s="2">
        <f>79.02864</f>
        <v>79.028639999999996</v>
      </c>
      <c r="P154" s="2">
        <f>67.97659</f>
        <v>67.976590000000002</v>
      </c>
    </row>
    <row r="155" spans="1:16" ht="17">
      <c r="A155" s="1" t="str">
        <f t="shared" si="7"/>
        <v>2020/05/11</v>
      </c>
      <c r="B155" s="1" t="str">
        <f>"07:00"</f>
        <v>07:00</v>
      </c>
      <c r="C155" s="2"/>
      <c r="D155" s="2">
        <f>0.9624072</f>
        <v>0.96240720000000002</v>
      </c>
      <c r="E155" s="2">
        <f>1.0391266</f>
        <v>1.0391265999999999</v>
      </c>
      <c r="F155" s="2"/>
      <c r="G155" s="2">
        <f>3.374984</f>
        <v>3.374984</v>
      </c>
      <c r="H155" s="2"/>
      <c r="I155" s="2">
        <f>30.431116</f>
        <v>30.431115999999999</v>
      </c>
      <c r="J155" s="2"/>
      <c r="K155" s="2">
        <f>35.5943</f>
        <v>35.594299999999997</v>
      </c>
      <c r="L155" s="5"/>
      <c r="M155" s="6">
        <v>0.56108329999999995</v>
      </c>
      <c r="N155" s="2"/>
      <c r="O155" s="2">
        <f>75.94297</f>
        <v>75.942970000000003</v>
      </c>
      <c r="P155" s="2">
        <f>53.099888</f>
        <v>53.099888</v>
      </c>
    </row>
    <row r="156" spans="1:16" ht="17">
      <c r="A156" s="1" t="str">
        <f t="shared" si="7"/>
        <v>2020/05/11</v>
      </c>
      <c r="B156" s="1" t="str">
        <f>"08:00"</f>
        <v>08:00</v>
      </c>
      <c r="C156" s="2"/>
      <c r="D156" s="2">
        <f>0.97445166</f>
        <v>0.97445166000000005</v>
      </c>
      <c r="E156" s="2">
        <f>1.0462215</f>
        <v>1.0462214999999999</v>
      </c>
      <c r="F156" s="2"/>
      <c r="G156" s="2">
        <f>2.6683629</f>
        <v>2.6683629</v>
      </c>
      <c r="H156" s="2"/>
      <c r="I156" s="2">
        <f>16.79245</f>
        <v>16.792449999999999</v>
      </c>
      <c r="J156" s="2"/>
      <c r="K156" s="2">
        <f>20.851494</f>
        <v>20.851493999999999</v>
      </c>
      <c r="L156" s="5"/>
      <c r="M156" s="6">
        <v>0.71942399999999995</v>
      </c>
      <c r="N156" s="2"/>
      <c r="O156" s="2">
        <f>75.09264</f>
        <v>75.092640000000003</v>
      </c>
      <c r="P156" s="2">
        <f>71.79568</f>
        <v>71.795680000000004</v>
      </c>
    </row>
    <row r="157" spans="1:16" ht="17">
      <c r="A157" s="1" t="str">
        <f t="shared" si="7"/>
        <v>2020/05/11</v>
      </c>
      <c r="B157" s="1" t="str">
        <f>"09:00"</f>
        <v>09:00</v>
      </c>
      <c r="C157" s="2"/>
      <c r="D157" s="2">
        <f>0.98240185</f>
        <v>0.98240185000000002</v>
      </c>
      <c r="E157" s="2">
        <f>1.0084575</f>
        <v>1.0084575</v>
      </c>
      <c r="F157" s="2"/>
      <c r="G157" s="2">
        <f>7.067197</f>
        <v>7.0671970000000002</v>
      </c>
      <c r="H157" s="2"/>
      <c r="I157" s="2">
        <f>27.154427</f>
        <v>27.154426999999998</v>
      </c>
      <c r="J157" s="2"/>
      <c r="K157" s="2">
        <f>37.125134</f>
        <v>37.125134000000003</v>
      </c>
      <c r="L157" s="5"/>
      <c r="M157" s="6">
        <v>0.62099300000000002</v>
      </c>
      <c r="N157" s="2"/>
      <c r="O157" s="2">
        <f>75.13247</f>
        <v>75.132469999999998</v>
      </c>
      <c r="P157" s="2">
        <f>81.658455</f>
        <v>81.658455000000004</v>
      </c>
    </row>
    <row r="158" spans="1:16" ht="17">
      <c r="A158" s="1" t="str">
        <f t="shared" si="7"/>
        <v>2020/05/11</v>
      </c>
      <c r="B158" s="1" t="str">
        <f>"10:00"</f>
        <v>10:00</v>
      </c>
      <c r="C158" s="2"/>
      <c r="D158" s="2">
        <f>0.9898614</f>
        <v>0.9898614</v>
      </c>
      <c r="E158" s="2">
        <f>1.0086257</f>
        <v>1.0086257000000001</v>
      </c>
      <c r="F158" s="2"/>
      <c r="G158" s="2">
        <f>4.8652997</f>
        <v>4.8652996999999996</v>
      </c>
      <c r="H158" s="2"/>
      <c r="I158" s="2">
        <f>12.509647</f>
        <v>12.509646999999999</v>
      </c>
      <c r="J158" s="2"/>
      <c r="K158" s="2">
        <f>19.028797</f>
        <v>19.028797000000001</v>
      </c>
      <c r="L158" s="5"/>
      <c r="M158" s="6">
        <v>0.78733927000000004</v>
      </c>
      <c r="N158" s="2"/>
      <c r="O158" s="2">
        <f>75.067</f>
        <v>75.066999999999993</v>
      </c>
      <c r="P158" s="2">
        <f>82.921524</f>
        <v>82.921524000000005</v>
      </c>
    </row>
    <row r="159" spans="1:16" ht="17">
      <c r="A159" s="1" t="str">
        <f t="shared" si="7"/>
        <v>2020/05/11</v>
      </c>
      <c r="B159" s="1" t="str">
        <f>"11:00"</f>
        <v>11:00</v>
      </c>
      <c r="C159" s="2"/>
      <c r="D159" s="2">
        <f>0.99882966</f>
        <v>0.99882965999999995</v>
      </c>
      <c r="E159" s="2">
        <f>1.0179428</f>
        <v>1.0179427999999999</v>
      </c>
      <c r="F159" s="2"/>
      <c r="G159" s="2">
        <f>2.9856453</f>
        <v>2.9856452999999998</v>
      </c>
      <c r="H159" s="2"/>
      <c r="I159" s="2">
        <f>12.510829</f>
        <v>12.510828999999999</v>
      </c>
      <c r="J159" s="2"/>
      <c r="K159" s="2">
        <f>16.598259</f>
        <v>16.598258999999999</v>
      </c>
      <c r="L159" s="5"/>
      <c r="M159" s="6">
        <v>0.75920485999999998</v>
      </c>
      <c r="N159" s="2"/>
      <c r="O159" s="2">
        <f>75.12469</f>
        <v>75.124690000000001</v>
      </c>
      <c r="P159" s="2">
        <f>83.39888</f>
        <v>83.398880000000005</v>
      </c>
    </row>
    <row r="160" spans="1:16" ht="17">
      <c r="A160" s="1" t="str">
        <f t="shared" si="7"/>
        <v>2020/05/11</v>
      </c>
      <c r="B160" s="1" t="str">
        <f>"12:00"</f>
        <v>12:00</v>
      </c>
      <c r="C160" s="2"/>
      <c r="D160" s="2">
        <f>1.0058495</f>
        <v>1.0058495000000001</v>
      </c>
      <c r="E160" s="2">
        <f>1.0063813</f>
        <v>1.0063812999999999</v>
      </c>
      <c r="F160" s="2"/>
      <c r="G160" s="2">
        <f>2.297315</f>
        <v>2.2973150000000002</v>
      </c>
      <c r="H160" s="2"/>
      <c r="I160" s="2">
        <f>13.1515255</f>
        <v>13.1515255</v>
      </c>
      <c r="J160" s="2"/>
      <c r="K160" s="2">
        <f>16.673826</f>
        <v>16.673825999999998</v>
      </c>
      <c r="L160" s="5"/>
      <c r="M160" s="6">
        <v>0.77646990000000005</v>
      </c>
      <c r="N160" s="2"/>
      <c r="O160" s="2">
        <f>75.268036</f>
        <v>75.268035999999995</v>
      </c>
      <c r="P160" s="2">
        <f>82.79636</f>
        <v>82.796360000000007</v>
      </c>
    </row>
    <row r="161" spans="1:16" ht="17">
      <c r="A161" s="1" t="str">
        <f t="shared" si="7"/>
        <v>2020/05/11</v>
      </c>
      <c r="B161" s="1" t="str">
        <f>"13:00"</f>
        <v>13:00</v>
      </c>
      <c r="C161" s="2"/>
      <c r="D161" s="2">
        <f>1.0112636</f>
        <v>1.0112635999999999</v>
      </c>
      <c r="E161" s="2">
        <f>0.99529326</f>
        <v>0.99529325999999996</v>
      </c>
      <c r="F161" s="2"/>
      <c r="G161" s="2">
        <f>2.3738933</f>
        <v>2.3738933000000002</v>
      </c>
      <c r="H161" s="2"/>
      <c r="I161" s="2">
        <f>9.838742</f>
        <v>9.8387419999999999</v>
      </c>
      <c r="J161" s="2"/>
      <c r="K161" s="2">
        <f>13.478703</f>
        <v>13.478702999999999</v>
      </c>
      <c r="L161" s="5"/>
      <c r="M161" s="6">
        <v>0.73502069999999997</v>
      </c>
      <c r="N161" s="2"/>
      <c r="O161" s="2">
        <f>75.90979</f>
        <v>75.909790000000001</v>
      </c>
      <c r="P161" s="2">
        <f>83.63094</f>
        <v>83.630939999999995</v>
      </c>
    </row>
    <row r="162" spans="1:16" ht="17">
      <c r="A162" s="1" t="str">
        <f t="shared" si="7"/>
        <v>2020/05/11</v>
      </c>
      <c r="B162" s="1" t="str">
        <f>"14:00"</f>
        <v>14:00</v>
      </c>
      <c r="C162" s="2"/>
      <c r="D162" s="2">
        <f>1.0117954</f>
        <v>1.0117954</v>
      </c>
      <c r="E162" s="2">
        <f>0.9723143</f>
        <v>0.97231429999999996</v>
      </c>
      <c r="F162" s="2"/>
      <c r="G162" s="2">
        <f>1.8441927</f>
        <v>1.8441927</v>
      </c>
      <c r="H162" s="2"/>
      <c r="I162" s="2">
        <f>7.4616427</f>
        <v>7.4616426999999996</v>
      </c>
      <c r="J162" s="2"/>
      <c r="K162" s="2">
        <f>10.28932</f>
        <v>10.28932</v>
      </c>
      <c r="L162" s="5"/>
      <c r="M162" s="6">
        <v>0.67763627000000004</v>
      </c>
      <c r="N162" s="2"/>
      <c r="O162" s="2">
        <f>78.10851</f>
        <v>78.108509999999995</v>
      </c>
      <c r="P162" s="2">
        <f>85.56639</f>
        <v>85.566389999999998</v>
      </c>
    </row>
    <row r="163" spans="1:16" ht="17">
      <c r="A163" s="1" t="str">
        <f t="shared" si="7"/>
        <v>2020/05/11</v>
      </c>
      <c r="B163" s="1" t="str">
        <f>"15:00"</f>
        <v>15:00</v>
      </c>
      <c r="C163" s="2"/>
      <c r="D163" s="2">
        <f>1.0021179</f>
        <v>1.0021179</v>
      </c>
      <c r="E163" s="2">
        <f>0.96170694</f>
        <v>0.96170694000000001</v>
      </c>
      <c r="F163" s="2"/>
      <c r="G163" s="2">
        <f>2.6006136</f>
        <v>2.6006136</v>
      </c>
      <c r="H163" s="2"/>
      <c r="I163" s="2">
        <f>5.7120667</f>
        <v>5.7120667000000003</v>
      </c>
      <c r="J163" s="2"/>
      <c r="K163" s="2">
        <f>9.69098</f>
        <v>9.6909799999999997</v>
      </c>
      <c r="L163" s="5"/>
      <c r="M163" s="6">
        <v>0.71413844999999998</v>
      </c>
      <c r="N163" s="2"/>
      <c r="O163" s="2">
        <f>81.92883</f>
        <v>81.928830000000005</v>
      </c>
      <c r="P163" s="2">
        <f>83.662445</f>
        <v>83.662445000000005</v>
      </c>
    </row>
    <row r="164" spans="1:16" ht="17">
      <c r="A164" s="1" t="str">
        <f t="shared" si="7"/>
        <v>2020/05/11</v>
      </c>
      <c r="B164" s="1" t="str">
        <f>"16:00"</f>
        <v>16:00</v>
      </c>
      <c r="C164" s="2"/>
      <c r="D164" s="2">
        <f>0.9938737</f>
        <v>0.99387369999999997</v>
      </c>
      <c r="E164" s="2">
        <f>0.9802681</f>
        <v>0.98026809999999998</v>
      </c>
      <c r="F164" s="2"/>
      <c r="G164" s="2">
        <f>2.125678</f>
        <v>2.1256780000000002</v>
      </c>
      <c r="H164" s="2"/>
      <c r="I164" s="2">
        <f>8.010367</f>
        <v>8.0103670000000005</v>
      </c>
      <c r="J164" s="2"/>
      <c r="K164" s="2">
        <f>11.269589</f>
        <v>11.269589</v>
      </c>
      <c r="L164" s="5"/>
      <c r="M164" s="6">
        <v>0.73930450000000003</v>
      </c>
      <c r="N164" s="2"/>
      <c r="O164" s="2">
        <f>83.28284</f>
        <v>83.282839999999993</v>
      </c>
      <c r="P164" s="2">
        <f>82.627716</f>
        <v>82.627716000000007</v>
      </c>
    </row>
    <row r="165" spans="1:16" ht="17">
      <c r="A165" s="1" t="str">
        <f t="shared" si="7"/>
        <v>2020/05/11</v>
      </c>
      <c r="B165" s="1" t="str">
        <f>"17:00"</f>
        <v>17:00</v>
      </c>
      <c r="C165" s="2"/>
      <c r="D165" s="2">
        <f>0.9919932</f>
        <v>0.99199320000000002</v>
      </c>
      <c r="E165" s="2">
        <f>0.99341315</f>
        <v>0.99341314999999997</v>
      </c>
      <c r="F165" s="2"/>
      <c r="G165" s="2">
        <f>2.7899368</f>
        <v>2.7899368</v>
      </c>
      <c r="H165" s="2"/>
      <c r="I165" s="2">
        <f>8.743632</f>
        <v>8.7436319999999998</v>
      </c>
      <c r="J165" s="2"/>
      <c r="K165" s="2">
        <f>13.018878</f>
        <v>13.018878000000001</v>
      </c>
      <c r="L165" s="5"/>
      <c r="M165" s="6">
        <v>0.66347252999999995</v>
      </c>
      <c r="N165" s="2"/>
      <c r="O165" s="2">
        <f>83.33869</f>
        <v>83.33869</v>
      </c>
      <c r="P165" s="2">
        <f>82.10528</f>
        <v>82.105279999999993</v>
      </c>
    </row>
    <row r="166" spans="1:16" ht="17">
      <c r="A166" s="1" t="str">
        <f t="shared" si="7"/>
        <v>2020/05/11</v>
      </c>
      <c r="B166" s="1" t="str">
        <f>"18:00"</f>
        <v>18:00</v>
      </c>
      <c r="C166" s="2"/>
      <c r="D166" s="2">
        <f>0.9930394</f>
        <v>0.99303940000000002</v>
      </c>
      <c r="E166" s="2">
        <f>1.0169954</f>
        <v>1.0169954000000001</v>
      </c>
      <c r="F166" s="2"/>
      <c r="G166" s="2">
        <f>2.670519</f>
        <v>2.6705190000000001</v>
      </c>
      <c r="H166" s="2"/>
      <c r="I166" s="2">
        <f>9.425602</f>
        <v>9.4256019999999996</v>
      </c>
      <c r="J166" s="2"/>
      <c r="K166" s="2">
        <f>13.520388</f>
        <v>13.520388000000001</v>
      </c>
      <c r="L166" s="5"/>
      <c r="M166" s="6">
        <v>0.66999379999999997</v>
      </c>
      <c r="N166" s="2"/>
      <c r="O166" s="2">
        <f>83.130135</f>
        <v>83.130134999999996</v>
      </c>
      <c r="P166" s="2">
        <f>81.25308</f>
        <v>81.253079999999997</v>
      </c>
    </row>
    <row r="167" spans="1:16" ht="17">
      <c r="A167" s="1" t="str">
        <f t="shared" si="7"/>
        <v>2020/05/11</v>
      </c>
      <c r="B167" s="1" t="str">
        <f>"19:00"</f>
        <v>19:00</v>
      </c>
      <c r="C167" s="2"/>
      <c r="D167" s="2">
        <f>0.99466944</f>
        <v>0.99466944000000002</v>
      </c>
      <c r="E167" s="2">
        <f>1.030983</f>
        <v>1.030983</v>
      </c>
      <c r="F167" s="2"/>
      <c r="G167" s="2">
        <f>4.5984383</f>
        <v>4.5984382999999998</v>
      </c>
      <c r="H167" s="2"/>
      <c r="I167" s="2">
        <f>16.344732</f>
        <v>16.344732</v>
      </c>
      <c r="J167" s="2"/>
      <c r="K167" s="2">
        <f>23.384531</f>
        <v>23.384530999999999</v>
      </c>
      <c r="L167" s="5"/>
      <c r="M167" s="6">
        <v>0.95816946000000003</v>
      </c>
      <c r="N167" s="2"/>
      <c r="O167" s="2">
        <f>82.147575</f>
        <v>82.147575000000003</v>
      </c>
      <c r="P167" s="2">
        <f>75.538414</f>
        <v>75.538414000000003</v>
      </c>
    </row>
    <row r="168" spans="1:16" ht="17">
      <c r="A168" s="1" t="str">
        <f t="shared" si="7"/>
        <v>2020/05/11</v>
      </c>
      <c r="B168" s="1" t="str">
        <f>"20:00"</f>
        <v>20:00</v>
      </c>
      <c r="C168" s="2"/>
      <c r="D168" s="2">
        <f>0.9988388</f>
        <v>0.99883880000000003</v>
      </c>
      <c r="E168" s="2">
        <f>1.0397362</f>
        <v>1.0397362000000001</v>
      </c>
      <c r="F168" s="2"/>
      <c r="G168" s="2">
        <f>3.1673856</f>
        <v>3.1673855999999998</v>
      </c>
      <c r="H168" s="2"/>
      <c r="I168" s="2">
        <f>15.663057</f>
        <v>15.663057</v>
      </c>
      <c r="J168" s="2"/>
      <c r="K168" s="2">
        <f>20.519793</f>
        <v>20.519793</v>
      </c>
      <c r="L168" s="5"/>
      <c r="M168" s="6">
        <v>0.87947017000000005</v>
      </c>
      <c r="N168" s="2"/>
      <c r="O168" s="2">
        <f>80.895164</f>
        <v>80.895163999999994</v>
      </c>
      <c r="P168" s="2">
        <f>72.777054</f>
        <v>72.777054000000007</v>
      </c>
    </row>
    <row r="169" spans="1:16" ht="17">
      <c r="A169" s="1" t="str">
        <f t="shared" si="7"/>
        <v>2020/05/11</v>
      </c>
      <c r="B169" s="1" t="str">
        <f>"21:00"</f>
        <v>21:00</v>
      </c>
      <c r="C169" s="2"/>
      <c r="D169" s="2">
        <f>1.0033889</f>
        <v>1.0033889</v>
      </c>
      <c r="E169" s="2">
        <f>1.0316944</f>
        <v>1.0316943999999999</v>
      </c>
      <c r="F169" s="2"/>
      <c r="G169" s="2">
        <f>1.7515798</f>
        <v>1.7515798</v>
      </c>
      <c r="H169" s="2"/>
      <c r="I169" s="2">
        <f>14.714495</f>
        <v>14.714494999999999</v>
      </c>
      <c r="J169" s="2"/>
      <c r="K169" s="2">
        <f>17.400433</f>
        <v>17.400433</v>
      </c>
      <c r="L169" s="5"/>
      <c r="M169" s="6">
        <v>0.73227390000000003</v>
      </c>
      <c r="N169" s="2"/>
      <c r="O169" s="2">
        <f>79.13966</f>
        <v>79.139660000000006</v>
      </c>
      <c r="P169" s="2">
        <f>69.58692</f>
        <v>69.586920000000006</v>
      </c>
    </row>
    <row r="170" spans="1:16" ht="17">
      <c r="A170" s="1" t="str">
        <f t="shared" si="7"/>
        <v>2020/05/11</v>
      </c>
      <c r="B170" s="1" t="str">
        <f>"22:00"</f>
        <v>22:00</v>
      </c>
      <c r="C170" s="2"/>
      <c r="D170" s="2">
        <f>1.0082647</f>
        <v>1.0082647</v>
      </c>
      <c r="E170" s="2">
        <f>1.0113204</f>
        <v>1.0113204</v>
      </c>
      <c r="F170" s="2"/>
      <c r="G170" s="2">
        <f>1.2437449</f>
        <v>1.2437449</v>
      </c>
      <c r="H170" s="2"/>
      <c r="I170" s="2">
        <f>13.66443</f>
        <v>13.664429999999999</v>
      </c>
      <c r="J170" s="2"/>
      <c r="K170" s="2">
        <f>15.571677</f>
        <v>15.571676999999999</v>
      </c>
      <c r="L170" s="5"/>
      <c r="M170" s="6">
        <v>0.62260603999999997</v>
      </c>
      <c r="N170" s="2"/>
      <c r="O170" s="2">
        <f>76.53672</f>
        <v>76.536720000000003</v>
      </c>
      <c r="P170" s="2">
        <f>64.742836</f>
        <v>64.742835999999997</v>
      </c>
    </row>
    <row r="171" spans="1:16" ht="17">
      <c r="A171" s="1" t="str">
        <f t="shared" si="7"/>
        <v>2020/05/11</v>
      </c>
      <c r="B171" s="1" t="str">
        <f>"23:00"</f>
        <v>23:00</v>
      </c>
      <c r="C171" s="2"/>
      <c r="D171" s="2">
        <f>1.0060308</f>
        <v>1.0060308</v>
      </c>
      <c r="E171" s="2">
        <f>0.94383556</f>
        <v>0.94383556000000002</v>
      </c>
      <c r="F171" s="2"/>
      <c r="G171" s="2">
        <f>1.3736894</f>
        <v>1.3736893999999999</v>
      </c>
      <c r="H171" s="2"/>
      <c r="I171" s="2">
        <f>9.218429</f>
        <v>9.2184290000000004</v>
      </c>
      <c r="J171" s="2"/>
      <c r="K171" s="2">
        <f>11.324644</f>
        <v>11.324643999999999</v>
      </c>
      <c r="L171" s="5"/>
      <c r="M171" s="6">
        <v>0.73652879999999998</v>
      </c>
      <c r="N171" s="2"/>
      <c r="O171" s="2">
        <f>75.20448</f>
        <v>75.204480000000004</v>
      </c>
      <c r="P171" s="2">
        <f>73.00453</f>
        <v>73.004530000000003</v>
      </c>
    </row>
    <row r="172" spans="1:16" ht="17">
      <c r="A172" s="1" t="str">
        <f t="shared" si="7"/>
        <v>2020/05/11</v>
      </c>
      <c r="B172" s="1" t="str">
        <f>"24:00"</f>
        <v>24:00</v>
      </c>
      <c r="C172" s="2"/>
      <c r="D172" s="2">
        <f>0.99761134</f>
        <v>0.99761133999999996</v>
      </c>
      <c r="E172" s="2">
        <f>0.91291267</f>
        <v>0.91291266999999998</v>
      </c>
      <c r="F172" s="2"/>
      <c r="G172" s="2">
        <f>0.70306593</f>
        <v>0.70306592999999995</v>
      </c>
      <c r="H172" s="2"/>
      <c r="I172" s="2">
        <f>4.049922</f>
        <v>4.0499219999999996</v>
      </c>
      <c r="J172" s="2"/>
      <c r="K172" s="2">
        <f>5.127913</f>
        <v>5.1279130000000004</v>
      </c>
      <c r="L172" s="5"/>
      <c r="M172" s="6">
        <v>0.65557509999999997</v>
      </c>
      <c r="N172" s="2"/>
      <c r="O172" s="2">
        <f>74.96388</f>
        <v>74.963880000000003</v>
      </c>
      <c r="P172" s="2">
        <f>80.70291</f>
        <v>80.702910000000003</v>
      </c>
    </row>
    <row r="173" spans="1:16" ht="17">
      <c r="A173" s="1" t="str">
        <f t="shared" ref="A173:A196" si="8">"2020/05/12"</f>
        <v>2020/05/12</v>
      </c>
      <c r="B173" s="1" t="str">
        <f>"01:00"</f>
        <v>01:00</v>
      </c>
      <c r="C173" s="2">
        <f>0.9916216</f>
        <v>0.99162159999999999</v>
      </c>
      <c r="D173" s="2">
        <f>0.9871373</f>
        <v>0.9871373</v>
      </c>
      <c r="E173" s="2">
        <f>0.909621</f>
        <v>0.90962100000000001</v>
      </c>
      <c r="F173" s="2">
        <f>5.355343</f>
        <v>5.3553430000000004</v>
      </c>
      <c r="G173" s="2">
        <f>0.6862722</f>
        <v>0.6862722</v>
      </c>
      <c r="H173" s="2">
        <f>17.197462</f>
        <v>17.197462000000002</v>
      </c>
      <c r="I173" s="2">
        <f>2.7556689</f>
        <v>2.7556688999999999</v>
      </c>
      <c r="J173" s="2">
        <f>23.73864</f>
        <v>23.73864</v>
      </c>
      <c r="K173" s="2">
        <f>3.8079817</f>
        <v>3.8079817</v>
      </c>
      <c r="L173" s="5">
        <v>0.87945059999999997</v>
      </c>
      <c r="M173" s="6">
        <v>0.65854000000000001</v>
      </c>
      <c r="N173" s="2">
        <f>74.27116</f>
        <v>74.271159999999995</v>
      </c>
      <c r="O173" s="2">
        <f>75.15397</f>
        <v>75.153970000000001</v>
      </c>
      <c r="P173" s="2">
        <f>83.626015</f>
        <v>83.626014999999995</v>
      </c>
    </row>
    <row r="174" spans="1:16" ht="17">
      <c r="A174" s="1" t="str">
        <f t="shared" si="8"/>
        <v>2020/05/12</v>
      </c>
      <c r="B174" s="1" t="str">
        <f>"02:00"</f>
        <v>02:00</v>
      </c>
      <c r="C174" s="2"/>
      <c r="D174" s="2">
        <f>0.97393346</f>
        <v>0.97393346000000003</v>
      </c>
      <c r="E174" s="2">
        <f>0.91136444</f>
        <v>0.91136444000000005</v>
      </c>
      <c r="F174" s="2"/>
      <c r="G174" s="2">
        <f>0.71781814</f>
        <v>0.71781813999999999</v>
      </c>
      <c r="H174" s="2"/>
      <c r="I174" s="2">
        <f>2.683867</f>
        <v>2.6838669999999998</v>
      </c>
      <c r="J174" s="2"/>
      <c r="K174" s="2">
        <f>3.784468</f>
        <v>3.7844679999999999</v>
      </c>
      <c r="L174" s="5"/>
      <c r="M174" s="6">
        <v>0.77205230000000002</v>
      </c>
      <c r="N174" s="2"/>
      <c r="O174" s="2">
        <f>75.44135</f>
        <v>75.44135</v>
      </c>
      <c r="P174" s="2">
        <f>83.552155</f>
        <v>83.552154999999999</v>
      </c>
    </row>
    <row r="175" spans="1:16" ht="17">
      <c r="A175" s="1" t="str">
        <f t="shared" si="8"/>
        <v>2020/05/12</v>
      </c>
      <c r="B175" s="1" t="str">
        <f>"03:00"</f>
        <v>03:00</v>
      </c>
      <c r="C175" s="2"/>
      <c r="D175" s="2">
        <f>0.9594913</f>
        <v>0.95949130000000005</v>
      </c>
      <c r="E175" s="2">
        <f>0.9154459</f>
        <v>0.91544590000000003</v>
      </c>
      <c r="F175" s="2"/>
      <c r="G175" s="2">
        <f>1.0220177</f>
        <v>1.0220176999999999</v>
      </c>
      <c r="H175" s="2"/>
      <c r="I175" s="2">
        <f>5.5902925</f>
        <v>5.5902925000000003</v>
      </c>
      <c r="J175" s="2"/>
      <c r="K175" s="2">
        <f>7.1572766</f>
        <v>7.1572766000000003</v>
      </c>
      <c r="L175" s="5"/>
      <c r="M175" s="6">
        <v>0.78727424000000001</v>
      </c>
      <c r="N175" s="2"/>
      <c r="O175" s="2">
        <f>75.534485</f>
        <v>75.534485000000004</v>
      </c>
      <c r="P175" s="2">
        <f>76.28344</f>
        <v>76.283439999999999</v>
      </c>
    </row>
    <row r="176" spans="1:16" ht="17">
      <c r="A176" s="1" t="str">
        <f t="shared" si="8"/>
        <v>2020/05/12</v>
      </c>
      <c r="B176" s="1" t="str">
        <f>"04:00"</f>
        <v>04:00</v>
      </c>
      <c r="C176" s="2"/>
      <c r="D176" s="2">
        <f>0.94472986</f>
        <v>0.94472986000000003</v>
      </c>
      <c r="E176" s="2">
        <f>0.9216446</f>
        <v>0.92164460000000004</v>
      </c>
      <c r="F176" s="2"/>
      <c r="G176" s="2">
        <f>2.181481</f>
        <v>2.1814809999999998</v>
      </c>
      <c r="H176" s="2"/>
      <c r="I176" s="2">
        <f>9.124758</f>
        <v>9.1247579999999999</v>
      </c>
      <c r="J176" s="2"/>
      <c r="K176" s="2">
        <f>12.469552</f>
        <v>12.469552</v>
      </c>
      <c r="L176" s="5"/>
      <c r="M176" s="6">
        <v>0.72993045999999995</v>
      </c>
      <c r="N176" s="2"/>
      <c r="O176" s="2">
        <f>75.35704</f>
        <v>75.357039999999998</v>
      </c>
      <c r="P176" s="2">
        <f>71.3575</f>
        <v>71.357500000000002</v>
      </c>
    </row>
    <row r="177" spans="1:16" ht="17">
      <c r="A177" s="1" t="str">
        <f t="shared" si="8"/>
        <v>2020/05/12</v>
      </c>
      <c r="B177" s="1" t="str">
        <f>"05:00"</f>
        <v>05:00</v>
      </c>
      <c r="C177" s="2"/>
      <c r="D177" s="2">
        <f>0.93233794</f>
        <v>0.93233794000000003</v>
      </c>
      <c r="E177" s="2">
        <f>0.932559</f>
        <v>0.93255900000000003</v>
      </c>
      <c r="F177" s="2"/>
      <c r="G177" s="2">
        <f>1.3246536</f>
        <v>1.3246536</v>
      </c>
      <c r="H177" s="2"/>
      <c r="I177" s="2">
        <f>10.1119375</f>
        <v>10.1119375</v>
      </c>
      <c r="J177" s="2"/>
      <c r="K177" s="2">
        <f>12.14299</f>
        <v>12.142989999999999</v>
      </c>
      <c r="L177" s="5"/>
      <c r="M177" s="6">
        <v>0.79164619999999997</v>
      </c>
      <c r="N177" s="2"/>
      <c r="O177" s="2">
        <f>75.0074</f>
        <v>75.007400000000004</v>
      </c>
      <c r="P177" s="2">
        <f>66.78984</f>
        <v>66.789839999999998</v>
      </c>
    </row>
    <row r="178" spans="1:16" ht="17">
      <c r="A178" s="1" t="str">
        <f t="shared" si="8"/>
        <v>2020/05/12</v>
      </c>
      <c r="B178" s="1" t="str">
        <f>"06:00"</f>
        <v>06:00</v>
      </c>
      <c r="C178" s="2"/>
      <c r="D178" s="2">
        <f>0.9263946</f>
        <v>0.92639459999999996</v>
      </c>
      <c r="E178" s="2">
        <f>0.96377337</f>
        <v>0.96377336999999996</v>
      </c>
      <c r="F178" s="2"/>
      <c r="G178" s="2">
        <f>1.3417155</f>
        <v>1.3417155000000001</v>
      </c>
      <c r="H178" s="2"/>
      <c r="I178" s="2">
        <f>7.739777</f>
        <v>7.7397770000000001</v>
      </c>
      <c r="J178" s="2"/>
      <c r="K178" s="2">
        <f>9.695916</f>
        <v>9.6959160000000004</v>
      </c>
      <c r="L178" s="5"/>
      <c r="M178" s="6">
        <v>0.80511504</v>
      </c>
      <c r="N178" s="2"/>
      <c r="O178" s="2">
        <f>75.708176</f>
        <v>75.708175999999995</v>
      </c>
      <c r="P178" s="2">
        <f>70.34899</f>
        <v>70.348990000000001</v>
      </c>
    </row>
    <row r="179" spans="1:16" ht="17">
      <c r="A179" s="1" t="str">
        <f t="shared" si="8"/>
        <v>2020/05/12</v>
      </c>
      <c r="B179" s="1" t="str">
        <f>"07:00"</f>
        <v>07:00</v>
      </c>
      <c r="C179" s="2"/>
      <c r="D179" s="2">
        <f>0.927785</f>
        <v>0.92778499999999997</v>
      </c>
      <c r="E179" s="2">
        <f>0.9549588</f>
        <v>0.9549588</v>
      </c>
      <c r="F179" s="2"/>
      <c r="G179" s="2">
        <f>2.2213113</f>
        <v>2.2213113</v>
      </c>
      <c r="H179" s="2"/>
      <c r="I179" s="2">
        <f>10.985268</f>
        <v>10.985268</v>
      </c>
      <c r="J179" s="2"/>
      <c r="K179" s="2">
        <f>14.391119</f>
        <v>14.391119</v>
      </c>
      <c r="L179" s="5"/>
      <c r="M179" s="6">
        <v>0.79126847</v>
      </c>
      <c r="N179" s="2"/>
      <c r="O179" s="2">
        <f>74.9116</f>
        <v>74.911600000000007</v>
      </c>
      <c r="P179" s="2">
        <f>66.63196</f>
        <v>66.631960000000007</v>
      </c>
    </row>
    <row r="180" spans="1:16" ht="17">
      <c r="A180" s="1" t="str">
        <f t="shared" si="8"/>
        <v>2020/05/12</v>
      </c>
      <c r="B180" s="1" t="str">
        <f>"08:00"</f>
        <v>08:00</v>
      </c>
      <c r="C180" s="2"/>
      <c r="D180" s="2">
        <f>0.9398965</f>
        <v>0.93989650000000002</v>
      </c>
      <c r="E180" s="2">
        <f>1.0098051</f>
        <v>1.0098050999999999</v>
      </c>
      <c r="F180" s="2"/>
      <c r="G180" s="2">
        <f>9.891034</f>
        <v>9.8910339999999994</v>
      </c>
      <c r="H180" s="2"/>
      <c r="I180" s="2">
        <f>18.530312</f>
        <v>18.530311999999999</v>
      </c>
      <c r="J180" s="2"/>
      <c r="K180" s="2">
        <f>33.50845</f>
        <v>33.508450000000003</v>
      </c>
      <c r="L180" s="5"/>
      <c r="M180" s="6">
        <v>0.68982560000000004</v>
      </c>
      <c r="N180" s="2"/>
      <c r="O180" s="2">
        <f>72.411575</f>
        <v>72.411574999999999</v>
      </c>
      <c r="P180" s="2">
        <f>60.702694</f>
        <v>60.702694000000001</v>
      </c>
    </row>
    <row r="181" spans="1:16" ht="17">
      <c r="A181" s="1" t="str">
        <f t="shared" si="8"/>
        <v>2020/05/12</v>
      </c>
      <c r="B181" s="1" t="str">
        <f>"09:00"</f>
        <v>09:00</v>
      </c>
      <c r="C181" s="2"/>
      <c r="D181" s="2">
        <f>0.95736337</f>
        <v>0.95736337000000005</v>
      </c>
      <c r="E181" s="2">
        <f>1.0493556</f>
        <v>1.0493555999999999</v>
      </c>
      <c r="F181" s="2"/>
      <c r="G181" s="2">
        <f>16.053558</f>
        <v>16.053557999999999</v>
      </c>
      <c r="H181" s="2"/>
      <c r="I181" s="2">
        <f>23.388386</f>
        <v>23.388386000000001</v>
      </c>
      <c r="J181" s="2"/>
      <c r="K181" s="2">
        <f>44.248577</f>
        <v>44.248576999999997</v>
      </c>
      <c r="L181" s="5"/>
      <c r="M181" s="6">
        <v>1.0127375000000001</v>
      </c>
      <c r="N181" s="2"/>
      <c r="O181" s="2">
        <f>70.143456</f>
        <v>70.143456</v>
      </c>
      <c r="P181" s="2">
        <f>65.48105</f>
        <v>65.481049999999996</v>
      </c>
    </row>
    <row r="182" spans="1:16" ht="17">
      <c r="A182" s="1" t="str">
        <f t="shared" si="8"/>
        <v>2020/05/12</v>
      </c>
      <c r="B182" s="1" t="str">
        <f>"10:00"</f>
        <v>10:00</v>
      </c>
      <c r="C182" s="2"/>
      <c r="D182" s="2">
        <f>0.9750235</f>
        <v>0.97502350000000004</v>
      </c>
      <c r="E182" s="2">
        <f>1.0526454</f>
        <v>1.0526454000000001</v>
      </c>
      <c r="F182" s="2"/>
      <c r="G182" s="2">
        <f>16.434237</f>
        <v>16.434237</v>
      </c>
      <c r="H182" s="2"/>
      <c r="I182" s="2">
        <f>19.69091</f>
        <v>19.690909999999999</v>
      </c>
      <c r="J182" s="2"/>
      <c r="K182" s="2">
        <f>42.21181</f>
        <v>42.21181</v>
      </c>
      <c r="L182" s="5"/>
      <c r="M182" s="6">
        <v>1.0783256999999999</v>
      </c>
      <c r="N182" s="2"/>
      <c r="O182" s="2">
        <f>68.80165</f>
        <v>68.801649999999995</v>
      </c>
      <c r="P182" s="2">
        <f>72.81775</f>
        <v>72.817750000000004</v>
      </c>
    </row>
    <row r="183" spans="1:16" ht="17">
      <c r="A183" s="1" t="str">
        <f t="shared" si="8"/>
        <v>2020/05/12</v>
      </c>
      <c r="B183" s="1" t="str">
        <f>"11:00"</f>
        <v>11:00</v>
      </c>
      <c r="C183" s="2"/>
      <c r="D183" s="2">
        <f>0.9848516</f>
        <v>0.98485160000000005</v>
      </c>
      <c r="E183" s="2">
        <f>0.9940706</f>
        <v>0.99407060000000003</v>
      </c>
      <c r="F183" s="2"/>
      <c r="G183" s="2">
        <f>11.803269</f>
        <v>11.803269</v>
      </c>
      <c r="H183" s="2"/>
      <c r="I183" s="2">
        <f>13.103212</f>
        <v>13.103211999999999</v>
      </c>
      <c r="J183" s="2"/>
      <c r="K183" s="2">
        <f>22.200123</f>
        <v>22.200123000000001</v>
      </c>
      <c r="L183" s="5"/>
      <c r="M183" s="6">
        <v>0.86944379999999999</v>
      </c>
      <c r="N183" s="2"/>
      <c r="O183" s="2">
        <f>69.48973</f>
        <v>69.489729999999994</v>
      </c>
      <c r="P183" s="2">
        <f>81.788055</f>
        <v>81.788055</v>
      </c>
    </row>
    <row r="184" spans="1:16" ht="17">
      <c r="A184" s="1" t="str">
        <f t="shared" si="8"/>
        <v>2020/05/12</v>
      </c>
      <c r="B184" s="1" t="str">
        <f>"12:00"</f>
        <v>12:00</v>
      </c>
      <c r="C184" s="2"/>
      <c r="D184" s="2">
        <f>0.99105394</f>
        <v>0.99105394000000002</v>
      </c>
      <c r="E184" s="2">
        <f>0.9712636</f>
        <v>0.9712636</v>
      </c>
      <c r="F184" s="2"/>
      <c r="G184" s="2">
        <f>8.2872305</f>
        <v>8.2872304999999997</v>
      </c>
      <c r="H184" s="2"/>
      <c r="I184" s="2">
        <f>12.853708</f>
        <v>12.853707999999999</v>
      </c>
      <c r="J184" s="2"/>
      <c r="K184" s="2">
        <f>21.145824</f>
        <v>21.145824000000001</v>
      </c>
      <c r="L184" s="5"/>
      <c r="M184" s="6">
        <v>0.99892163</v>
      </c>
      <c r="N184" s="2"/>
      <c r="O184" s="2">
        <f>71.250145</f>
        <v>71.250145000000003</v>
      </c>
      <c r="P184" s="2">
        <f>85.4408</f>
        <v>85.440799999999996</v>
      </c>
    </row>
    <row r="185" spans="1:16" ht="17">
      <c r="A185" s="1" t="str">
        <f t="shared" si="8"/>
        <v>2020/05/12</v>
      </c>
      <c r="B185" s="1" t="str">
        <f>"13:00"</f>
        <v>13:00</v>
      </c>
      <c r="C185" s="2"/>
      <c r="D185" s="2">
        <f>0.98990184</f>
        <v>0.98990184000000003</v>
      </c>
      <c r="E185" s="2">
        <f>0.9233421</f>
        <v>0.92334210000000005</v>
      </c>
      <c r="F185" s="2"/>
      <c r="G185" s="2">
        <f>4.019951</f>
        <v>4.0199509999999998</v>
      </c>
      <c r="H185" s="2"/>
      <c r="I185" s="2">
        <f>7.3455157</f>
        <v>7.3455157</v>
      </c>
      <c r="J185" s="2"/>
      <c r="K185" s="2">
        <f>12.760018</f>
        <v>12.760018000000001</v>
      </c>
      <c r="L185" s="5"/>
      <c r="M185" s="6">
        <v>0.8292735</v>
      </c>
      <c r="N185" s="2"/>
      <c r="O185" s="2">
        <f>73.95439</f>
        <v>73.954390000000004</v>
      </c>
      <c r="P185" s="2">
        <f>88.423836</f>
        <v>88.423835999999994</v>
      </c>
    </row>
    <row r="186" spans="1:16" ht="17">
      <c r="A186" s="1" t="str">
        <f t="shared" si="8"/>
        <v>2020/05/12</v>
      </c>
      <c r="B186" s="1" t="str">
        <f>"14:00"</f>
        <v>14:00</v>
      </c>
      <c r="C186" s="2"/>
      <c r="D186" s="2">
        <f>0.98564935</f>
        <v>0.98564934999999998</v>
      </c>
      <c r="E186" s="2">
        <f>0.9297536</f>
        <v>0.92975359999999996</v>
      </c>
      <c r="F186" s="2"/>
      <c r="G186" s="2">
        <f>5.5575433</f>
        <v>5.5575432999999999</v>
      </c>
      <c r="H186" s="2"/>
      <c r="I186" s="2">
        <f>8.213208</f>
        <v>8.2132079999999998</v>
      </c>
      <c r="J186" s="2"/>
      <c r="K186" s="2">
        <f>13.965727</f>
        <v>13.965726999999999</v>
      </c>
      <c r="L186" s="5"/>
      <c r="M186" s="6">
        <v>0.83472215999999999</v>
      </c>
      <c r="N186" s="2"/>
      <c r="O186" s="2">
        <f>76.39567</f>
        <v>76.395669999999996</v>
      </c>
      <c r="P186" s="2">
        <f>89.87923</f>
        <v>89.879230000000007</v>
      </c>
    </row>
    <row r="187" spans="1:16" ht="17">
      <c r="A187" s="1" t="str">
        <f t="shared" si="8"/>
        <v>2020/05/12</v>
      </c>
      <c r="B187" s="1" t="str">
        <f>"15:00"</f>
        <v>15:00</v>
      </c>
      <c r="C187" s="2"/>
      <c r="D187" s="2">
        <f>0.9811596</f>
        <v>0.98115960000000002</v>
      </c>
      <c r="E187" s="2">
        <f>0.91904086</f>
        <v>0.91904085999999996</v>
      </c>
      <c r="F187" s="2"/>
      <c r="G187" s="2">
        <f>11.340138</f>
        <v>11.340138</v>
      </c>
      <c r="H187" s="2"/>
      <c r="I187" s="2">
        <f>13.231217</f>
        <v>13.231216999999999</v>
      </c>
      <c r="J187" s="2"/>
      <c r="K187" s="2">
        <f>19.090853</f>
        <v>19.090852999999999</v>
      </c>
      <c r="L187" s="5"/>
      <c r="M187" s="6">
        <v>0.96445095999999997</v>
      </c>
      <c r="N187" s="2"/>
      <c r="O187" s="2">
        <f>79.72821</f>
        <v>79.728210000000004</v>
      </c>
      <c r="P187" s="2">
        <f>93.29228</f>
        <v>93.292280000000005</v>
      </c>
    </row>
    <row r="188" spans="1:16" ht="17">
      <c r="A188" s="1" t="str">
        <f t="shared" si="8"/>
        <v>2020/05/12</v>
      </c>
      <c r="B188" s="1" t="str">
        <f>"16:00"</f>
        <v>16:00</v>
      </c>
      <c r="C188" s="2"/>
      <c r="D188" s="2">
        <f>0.9739541</f>
        <v>0.97395410000000004</v>
      </c>
      <c r="E188" s="2">
        <f>0.9521611</f>
        <v>0.95216109999999998</v>
      </c>
      <c r="F188" s="2"/>
      <c r="G188" s="2">
        <f>6.835495</f>
        <v>6.8354949999999999</v>
      </c>
      <c r="H188" s="2"/>
      <c r="I188" s="2">
        <f>8.253781</f>
        <v>8.253781</v>
      </c>
      <c r="J188" s="2"/>
      <c r="K188" s="2">
        <f>13.849492</f>
        <v>13.849492</v>
      </c>
      <c r="L188" s="5"/>
      <c r="M188" s="6">
        <v>0.94975567000000005</v>
      </c>
      <c r="N188" s="2"/>
      <c r="O188" s="2">
        <f>84.18319</f>
        <v>84.183189999999996</v>
      </c>
      <c r="P188" s="2">
        <f>96.34253</f>
        <v>96.342529999999996</v>
      </c>
    </row>
    <row r="189" spans="1:16" ht="17">
      <c r="A189" s="1" t="str">
        <f t="shared" si="8"/>
        <v>2020/05/12</v>
      </c>
      <c r="B189" s="1" t="str">
        <f>"17:00"</f>
        <v>17:00</v>
      </c>
      <c r="C189" s="2"/>
      <c r="D189" s="2">
        <f>0.96423155</f>
        <v>0.96423155000000005</v>
      </c>
      <c r="E189" s="2">
        <f>0.9715752</f>
        <v>0.97157519999999997</v>
      </c>
      <c r="F189" s="2"/>
      <c r="G189" s="2">
        <f>3.2677677</f>
        <v>3.2677676999999998</v>
      </c>
      <c r="H189" s="2"/>
      <c r="I189" s="2">
        <f>12.876167</f>
        <v>12.876167000000001</v>
      </c>
      <c r="J189" s="2"/>
      <c r="K189" s="2">
        <f>17.886591</f>
        <v>17.886590999999999</v>
      </c>
      <c r="L189" s="5"/>
      <c r="M189" s="6">
        <v>0.90786635999999998</v>
      </c>
      <c r="N189" s="2"/>
      <c r="O189" s="2">
        <f>87.639244</f>
        <v>87.639244000000005</v>
      </c>
      <c r="P189" s="2">
        <f>93.12948</f>
        <v>93.129480000000001</v>
      </c>
    </row>
    <row r="190" spans="1:16" ht="17">
      <c r="A190" s="1" t="str">
        <f t="shared" si="8"/>
        <v>2020/05/12</v>
      </c>
      <c r="B190" s="1" t="str">
        <f>"18:00"</f>
        <v>18:00</v>
      </c>
      <c r="C190" s="2"/>
      <c r="D190" s="2">
        <f>0.95851475</f>
        <v>0.95851474999999997</v>
      </c>
      <c r="E190" s="2">
        <f>1.0069108</f>
        <v>1.0069108</v>
      </c>
      <c r="F190" s="2"/>
      <c r="G190" s="2">
        <f>5.845056</f>
        <v>5.8450559999999996</v>
      </c>
      <c r="H190" s="2"/>
      <c r="I190" s="2">
        <f>20.729668</f>
        <v>20.729668</v>
      </c>
      <c r="J190" s="2"/>
      <c r="K190" s="2">
        <f>29.67626</f>
        <v>29.676259999999999</v>
      </c>
      <c r="L190" s="5"/>
      <c r="M190" s="6">
        <v>0.99590736999999996</v>
      </c>
      <c r="N190" s="2"/>
      <c r="O190" s="2">
        <f>89.137764</f>
        <v>89.137764000000004</v>
      </c>
      <c r="P190" s="2">
        <f>84.80592</f>
        <v>84.80592</v>
      </c>
    </row>
    <row r="191" spans="1:16" ht="17">
      <c r="A191" s="1" t="str">
        <f t="shared" si="8"/>
        <v>2020/05/12</v>
      </c>
      <c r="B191" s="1" t="str">
        <f>"19:00"</f>
        <v>19:00</v>
      </c>
      <c r="C191" s="2"/>
      <c r="D191" s="2">
        <f>0.9613981</f>
        <v>0.96139810000000003</v>
      </c>
      <c r="E191" s="2">
        <f>1.0171376</f>
        <v>1.0171376000000001</v>
      </c>
      <c r="F191" s="2"/>
      <c r="G191" s="2">
        <f>2.5448544</f>
        <v>2.5448544000000002</v>
      </c>
      <c r="H191" s="2"/>
      <c r="I191" s="2">
        <f>15.200165</f>
        <v>15.200165</v>
      </c>
      <c r="J191" s="2"/>
      <c r="K191" s="2">
        <f>19.102034</f>
        <v>19.102034</v>
      </c>
      <c r="L191" s="5"/>
      <c r="M191" s="6">
        <v>0.70017576000000004</v>
      </c>
      <c r="N191" s="2"/>
      <c r="O191" s="2">
        <f>90.66428</f>
        <v>90.664280000000005</v>
      </c>
      <c r="P191" s="2">
        <f>94.00019</f>
        <v>94.000190000000003</v>
      </c>
    </row>
    <row r="192" spans="1:16" ht="17">
      <c r="A192" s="1" t="str">
        <f t="shared" si="8"/>
        <v>2020/05/12</v>
      </c>
      <c r="B192" s="1" t="str">
        <f>"20:00"</f>
        <v>20:00</v>
      </c>
      <c r="C192" s="2"/>
      <c r="D192" s="2">
        <f>0.9756262</f>
        <v>0.9756262</v>
      </c>
      <c r="E192" s="2">
        <f>1.0850881</f>
        <v>1.0850881000000001</v>
      </c>
      <c r="F192" s="2"/>
      <c r="G192" s="2">
        <f>4.048224</f>
        <v>4.0482240000000003</v>
      </c>
      <c r="H192" s="2"/>
      <c r="I192" s="2">
        <f>27.723043</f>
        <v>27.723043000000001</v>
      </c>
      <c r="J192" s="2"/>
      <c r="K192" s="2">
        <f>33.93041</f>
        <v>33.930410000000002</v>
      </c>
      <c r="L192" s="5"/>
      <c r="M192" s="6">
        <v>0.8373138</v>
      </c>
      <c r="N192" s="2"/>
      <c r="O192" s="2">
        <f>90.441734</f>
        <v>90.441733999999997</v>
      </c>
      <c r="P192" s="2">
        <f>83.66039</f>
        <v>83.660390000000007</v>
      </c>
    </row>
    <row r="193" spans="1:16" ht="17">
      <c r="A193" s="1" t="str">
        <f t="shared" si="8"/>
        <v>2020/05/12</v>
      </c>
      <c r="B193" s="1" t="str">
        <f>"21:00"</f>
        <v>21:00</v>
      </c>
      <c r="C193" s="2"/>
      <c r="D193" s="2">
        <f>1.0149306</f>
        <v>1.0149306</v>
      </c>
      <c r="E193" s="2">
        <f>1.2377771</f>
        <v>1.2377771</v>
      </c>
      <c r="F193" s="2"/>
      <c r="G193" s="2">
        <f>6.438873</f>
        <v>6.4388730000000001</v>
      </c>
      <c r="H193" s="2"/>
      <c r="I193" s="2">
        <f>54.126835</f>
        <v>54.126835</v>
      </c>
      <c r="J193" s="2"/>
      <c r="K193" s="2">
        <f>63.9995</f>
        <v>63.999499999999998</v>
      </c>
      <c r="L193" s="5"/>
      <c r="M193" s="6">
        <v>1.0968167</v>
      </c>
      <c r="N193" s="2"/>
      <c r="O193" s="2">
        <f>85.897575</f>
        <v>85.897575000000003</v>
      </c>
      <c r="P193" s="2">
        <f>52.070553</f>
        <v>52.070552999999997</v>
      </c>
    </row>
    <row r="194" spans="1:16" ht="17">
      <c r="A194" s="1" t="str">
        <f t="shared" si="8"/>
        <v>2020/05/12</v>
      </c>
      <c r="B194" s="1" t="str">
        <f>"22:00"</f>
        <v>22:00</v>
      </c>
      <c r="C194" s="2"/>
      <c r="D194" s="2">
        <f>1.0402023</f>
        <v>1.0402023</v>
      </c>
      <c r="E194" s="2">
        <f>1.1319276</f>
        <v>1.1319276</v>
      </c>
      <c r="F194" s="2"/>
      <c r="G194" s="2">
        <f>3.1851861</f>
        <v>3.1851861000000001</v>
      </c>
      <c r="H194" s="2"/>
      <c r="I194" s="2">
        <f>51.595955</f>
        <v>51.595954999999996</v>
      </c>
      <c r="J194" s="2"/>
      <c r="K194" s="2">
        <f>56.480064</f>
        <v>56.480063999999999</v>
      </c>
      <c r="L194" s="5"/>
      <c r="M194" s="6">
        <v>1.0817401</v>
      </c>
      <c r="N194" s="2"/>
      <c r="O194" s="2">
        <f>78.9722</f>
        <v>78.972200000000001</v>
      </c>
      <c r="P194" s="2">
        <f>34.47623</f>
        <v>34.476230000000001</v>
      </c>
    </row>
    <row r="195" spans="1:16" ht="17">
      <c r="A195" s="1" t="str">
        <f t="shared" si="8"/>
        <v>2020/05/12</v>
      </c>
      <c r="B195" s="1" t="str">
        <f>"23:00"</f>
        <v>23:00</v>
      </c>
      <c r="C195" s="2"/>
      <c r="D195" s="2">
        <f>1.0591352</f>
        <v>1.0591352000000001</v>
      </c>
      <c r="E195" s="2">
        <f>1.0705044</f>
        <v>1.0705043999999999</v>
      </c>
      <c r="F195" s="2"/>
      <c r="G195" s="2">
        <f>1.8352175</f>
        <v>1.8352174999999999</v>
      </c>
      <c r="H195" s="2"/>
      <c r="I195" s="2">
        <f>37.932377</f>
        <v>37.932377000000002</v>
      </c>
      <c r="J195" s="2"/>
      <c r="K195" s="2">
        <f>40.74659</f>
        <v>40.746589999999998</v>
      </c>
      <c r="L195" s="5"/>
      <c r="M195" s="6">
        <v>0.97262689999999996</v>
      </c>
      <c r="N195" s="2"/>
      <c r="O195" s="2">
        <f>71.464066</f>
        <v>71.464066000000003</v>
      </c>
      <c r="P195" s="2">
        <f>33.22723</f>
        <v>33.227229999999999</v>
      </c>
    </row>
    <row r="196" spans="1:16" ht="17">
      <c r="A196" s="1" t="str">
        <f t="shared" si="8"/>
        <v>2020/05/12</v>
      </c>
      <c r="B196" s="1" t="str">
        <f>"24:00"</f>
        <v>24:00</v>
      </c>
      <c r="C196" s="2"/>
      <c r="D196" s="2">
        <f>1.0610143</f>
        <v>1.0610143000000001</v>
      </c>
      <c r="E196" s="2">
        <f>0.9671933</f>
        <v>0.96719330000000003</v>
      </c>
      <c r="F196" s="2"/>
      <c r="G196" s="2">
        <f>1.6453189</f>
        <v>1.6453188999999999</v>
      </c>
      <c r="H196" s="2"/>
      <c r="I196" s="2">
        <f>18.953053</f>
        <v>18.953053000000001</v>
      </c>
      <c r="J196" s="2"/>
      <c r="K196" s="2">
        <f>21.475744</f>
        <v>21.475743999999999</v>
      </c>
      <c r="L196" s="5"/>
      <c r="M196" s="6">
        <v>0.95108470000000001</v>
      </c>
      <c r="N196" s="2"/>
      <c r="O196" s="2">
        <f>66.2187</f>
        <v>66.218699999999998</v>
      </c>
      <c r="P196" s="2">
        <f>54.379597</f>
        <v>54.379596999999997</v>
      </c>
    </row>
    <row r="197" spans="1:16" ht="17">
      <c r="A197" s="1" t="str">
        <f t="shared" ref="A197:A220" si="9">"2020/05/13"</f>
        <v>2020/05/13</v>
      </c>
      <c r="B197" s="1" t="str">
        <f>"01:00"</f>
        <v>01:00</v>
      </c>
      <c r="C197" s="2">
        <f>0.9759508</f>
        <v>0.97595080000000001</v>
      </c>
      <c r="D197" s="2">
        <f>1.05408</f>
        <v>1.0540799999999999</v>
      </c>
      <c r="E197" s="2">
        <f>0.9161006</f>
        <v>0.91610060000000004</v>
      </c>
      <c r="F197" s="2">
        <f>2.8444872</f>
        <v>2.8444872000000001</v>
      </c>
      <c r="G197" s="2">
        <f>0.70781326</f>
        <v>0.70781326</v>
      </c>
      <c r="H197" s="2">
        <f>13.967929</f>
        <v>13.967929</v>
      </c>
      <c r="I197" s="2">
        <f>8.635591</f>
        <v>8.6355909999999998</v>
      </c>
      <c r="J197" s="2">
        <f>18.228668</f>
        <v>18.228667999999999</v>
      </c>
      <c r="K197" s="2">
        <f>9.7208605</f>
        <v>9.7208605000000006</v>
      </c>
      <c r="L197" s="5">
        <v>0.93666020000000005</v>
      </c>
      <c r="M197" s="6">
        <v>0.93429815999999999</v>
      </c>
      <c r="N197" s="2">
        <f>70.7194</f>
        <v>70.719399999999993</v>
      </c>
      <c r="O197" s="2">
        <f>62.59983</f>
        <v>62.599829999999997</v>
      </c>
      <c r="P197" s="2">
        <f>64.178535</f>
        <v>64.178534999999997</v>
      </c>
    </row>
    <row r="198" spans="1:16" ht="17">
      <c r="A198" s="1" t="str">
        <f t="shared" si="9"/>
        <v>2020/05/13</v>
      </c>
      <c r="B198" s="1" t="str">
        <f>"02:00"</f>
        <v>02:00</v>
      </c>
      <c r="C198" s="2"/>
      <c r="D198" s="2">
        <f>1.0445192</f>
        <v>1.0445192000000001</v>
      </c>
      <c r="E198" s="2">
        <f>0.9304243</f>
        <v>0.93042429999999998</v>
      </c>
      <c r="F198" s="2"/>
      <c r="G198" s="2">
        <f>1.0506076</f>
        <v>1.0506076</v>
      </c>
      <c r="H198" s="2"/>
      <c r="I198" s="2">
        <f>13.16682</f>
        <v>13.16682</v>
      </c>
      <c r="J198" s="2"/>
      <c r="K198" s="2">
        <f>14.777575</f>
        <v>14.777575000000001</v>
      </c>
      <c r="L198" s="5"/>
      <c r="M198" s="6">
        <v>0.89820622999999999</v>
      </c>
      <c r="N198" s="2"/>
      <c r="O198" s="2">
        <f>58.727356</f>
        <v>58.727356</v>
      </c>
      <c r="P198" s="2">
        <f>53.826107</f>
        <v>53.826107</v>
      </c>
    </row>
    <row r="199" spans="1:16" ht="17">
      <c r="A199" s="1" t="str">
        <f t="shared" si="9"/>
        <v>2020/05/13</v>
      </c>
      <c r="B199" s="1" t="str">
        <f>"03:00"</f>
        <v>03:00</v>
      </c>
      <c r="C199" s="2"/>
      <c r="D199" s="2">
        <f>1.0356</f>
        <v>1.0356000000000001</v>
      </c>
      <c r="E199" s="2">
        <f>0.94578415</f>
        <v>0.94578415000000005</v>
      </c>
      <c r="F199" s="2"/>
      <c r="G199" s="2">
        <f>1.1643695</f>
        <v>1.1643695000000001</v>
      </c>
      <c r="H199" s="2"/>
      <c r="I199" s="2">
        <f>22.214483</f>
        <v>22.214483000000001</v>
      </c>
      <c r="J199" s="2"/>
      <c r="K199" s="2">
        <f>24.00009</f>
        <v>24.00009</v>
      </c>
      <c r="L199" s="5"/>
      <c r="M199" s="6">
        <v>0.81931140000000002</v>
      </c>
      <c r="N199" s="2"/>
      <c r="O199" s="2">
        <f>52.23369</f>
        <v>52.233690000000003</v>
      </c>
      <c r="P199" s="2">
        <f>42.050873</f>
        <v>42.050873000000003</v>
      </c>
    </row>
    <row r="200" spans="1:16" ht="17">
      <c r="A200" s="1" t="str">
        <f t="shared" si="9"/>
        <v>2020/05/13</v>
      </c>
      <c r="B200" s="1" t="str">
        <f>"04:00"</f>
        <v>04:00</v>
      </c>
      <c r="C200" s="2"/>
      <c r="D200" s="2">
        <f>1.0144037</f>
        <v>1.0144036999999999</v>
      </c>
      <c r="E200" s="2">
        <f>0.91551846</f>
        <v>0.91551846000000003</v>
      </c>
      <c r="F200" s="2"/>
      <c r="G200" s="2">
        <f>1.3147744</f>
        <v>1.3147743999999999</v>
      </c>
      <c r="H200" s="2"/>
      <c r="I200" s="2">
        <f>12.241709</f>
        <v>12.241709</v>
      </c>
      <c r="J200" s="2"/>
      <c r="K200" s="2">
        <f>14.257608</f>
        <v>14.257607999999999</v>
      </c>
      <c r="L200" s="5"/>
      <c r="M200" s="6">
        <v>0.79486179999999995</v>
      </c>
      <c r="N200" s="2"/>
      <c r="O200" s="2">
        <f>48.70627</f>
        <v>48.706270000000004</v>
      </c>
      <c r="P200" s="2">
        <f>55.441017</f>
        <v>55.441017000000002</v>
      </c>
    </row>
    <row r="201" spans="1:16" ht="17">
      <c r="A201" s="1" t="str">
        <f t="shared" si="9"/>
        <v>2020/05/13</v>
      </c>
      <c r="B201" s="1" t="str">
        <f>"05:00"</f>
        <v>05:00</v>
      </c>
      <c r="C201" s="2"/>
      <c r="D201" s="2">
        <f>0.977458</f>
        <v>0.97745800000000005</v>
      </c>
      <c r="E201" s="2">
        <f>0.94221103</f>
        <v>0.94221102999999995</v>
      </c>
      <c r="F201" s="2"/>
      <c r="G201" s="2">
        <f>1.127139</f>
        <v>1.1271389999999999</v>
      </c>
      <c r="H201" s="2"/>
      <c r="I201" s="2">
        <f>10.510809</f>
        <v>10.510809</v>
      </c>
      <c r="J201" s="2"/>
      <c r="K201" s="2">
        <f>12.238654</f>
        <v>12.238654</v>
      </c>
      <c r="L201" s="5"/>
      <c r="M201" s="6">
        <v>0.83047795000000002</v>
      </c>
      <c r="N201" s="2"/>
      <c r="O201" s="2">
        <f>49.121284</f>
        <v>49.121284000000003</v>
      </c>
      <c r="P201" s="2">
        <f>55.39069</f>
        <v>55.390689999999999</v>
      </c>
    </row>
    <row r="202" spans="1:16" ht="17">
      <c r="A202" s="1" t="str">
        <f t="shared" si="9"/>
        <v>2020/05/13</v>
      </c>
      <c r="B202" s="1" t="str">
        <f>"06:00"</f>
        <v>06:00</v>
      </c>
      <c r="C202" s="2"/>
      <c r="D202" s="2">
        <f>0.95724446</f>
        <v>0.95724445999999996</v>
      </c>
      <c r="E202" s="2">
        <f>0.9702192</f>
        <v>0.97021919999999995</v>
      </c>
      <c r="F202" s="2"/>
      <c r="G202" s="2">
        <f>1.3479146</f>
        <v>1.3479146</v>
      </c>
      <c r="H202" s="2"/>
      <c r="I202" s="2">
        <f>14.610506</f>
        <v>14.610506000000001</v>
      </c>
      <c r="J202" s="2"/>
      <c r="K202" s="2">
        <f>16.67706</f>
        <v>16.677060000000001</v>
      </c>
      <c r="L202" s="5"/>
      <c r="M202" s="6">
        <v>0.72132903000000004</v>
      </c>
      <c r="N202" s="2"/>
      <c r="O202" s="2">
        <f>50.850693</f>
        <v>50.850693</v>
      </c>
      <c r="P202" s="2">
        <f>48.311493</f>
        <v>48.311492999999999</v>
      </c>
    </row>
    <row r="203" spans="1:16" ht="17">
      <c r="A203" s="1" t="str">
        <f t="shared" si="9"/>
        <v>2020/05/13</v>
      </c>
      <c r="B203" s="1" t="str">
        <f>"07:00"</f>
        <v>07:00</v>
      </c>
      <c r="C203" s="2"/>
      <c r="D203" s="2">
        <f>0.952259</f>
        <v>0.95225899999999997</v>
      </c>
      <c r="E203" s="2">
        <f>1.030621</f>
        <v>1.030621</v>
      </c>
      <c r="F203" s="2"/>
      <c r="G203" s="2">
        <f>4.023206</f>
        <v>4.0232060000000001</v>
      </c>
      <c r="H203" s="2"/>
      <c r="I203" s="2">
        <f>26.391556</f>
        <v>26.391556000000001</v>
      </c>
      <c r="J203" s="2"/>
      <c r="K203" s="2">
        <f>32.55982</f>
        <v>32.559820000000002</v>
      </c>
      <c r="L203" s="5"/>
      <c r="M203" s="6">
        <v>0.57938800000000001</v>
      </c>
      <c r="N203" s="2"/>
      <c r="O203" s="2">
        <f>51.654537</f>
        <v>51.654536999999998</v>
      </c>
      <c r="P203" s="2">
        <f>39.65798</f>
        <v>39.657980000000002</v>
      </c>
    </row>
    <row r="204" spans="1:16" ht="17">
      <c r="A204" s="1" t="str">
        <f t="shared" si="9"/>
        <v>2020/05/13</v>
      </c>
      <c r="B204" s="1" t="str">
        <f>"08:00"</f>
        <v>08:00</v>
      </c>
      <c r="C204" s="2"/>
      <c r="D204" s="2">
        <f>0.9721909</f>
        <v>0.97219089999999997</v>
      </c>
      <c r="E204" s="2">
        <f>1.1266484</f>
        <v>1.1266484000000001</v>
      </c>
      <c r="F204" s="2"/>
      <c r="G204" s="2">
        <f>8.198352</f>
        <v>8.1983519999999999</v>
      </c>
      <c r="H204" s="2"/>
      <c r="I204" s="2">
        <f>28.055449</f>
        <v>28.055448999999999</v>
      </c>
      <c r="J204" s="2"/>
      <c r="K204" s="2">
        <f>40.62623</f>
        <v>40.62623</v>
      </c>
      <c r="L204" s="5"/>
      <c r="M204" s="6">
        <v>0.71693116000000001</v>
      </c>
      <c r="N204" s="2"/>
      <c r="O204" s="2">
        <f>49.92907</f>
        <v>49.929070000000003</v>
      </c>
      <c r="P204" s="2">
        <f>40.575848</f>
        <v>40.575848000000001</v>
      </c>
    </row>
    <row r="205" spans="1:16" ht="17">
      <c r="A205" s="1" t="str">
        <f t="shared" si="9"/>
        <v>2020/05/13</v>
      </c>
      <c r="B205" s="1" t="str">
        <f>"09:00"</f>
        <v>09:00</v>
      </c>
      <c r="C205" s="2"/>
      <c r="D205" s="2">
        <f>1.0031044</f>
        <v>1.0031044</v>
      </c>
      <c r="E205" s="2">
        <f>1.163409</f>
        <v>1.1634089999999999</v>
      </c>
      <c r="F205" s="2"/>
      <c r="G205" s="2">
        <f>10.157933</f>
        <v>10.157933</v>
      </c>
      <c r="H205" s="2"/>
      <c r="I205" s="2">
        <f>26.47517</f>
        <v>26.475169999999999</v>
      </c>
      <c r="J205" s="2"/>
      <c r="K205" s="2">
        <f>42.05028</f>
        <v>42.050280000000001</v>
      </c>
      <c r="L205" s="5"/>
      <c r="M205" s="6">
        <v>0.85047435999999998</v>
      </c>
      <c r="N205" s="2"/>
      <c r="O205" s="2">
        <f>47.956337</f>
        <v>47.956336999999998</v>
      </c>
      <c r="P205" s="2">
        <f>48.396683</f>
        <v>48.396683000000003</v>
      </c>
    </row>
    <row r="206" spans="1:16" ht="17">
      <c r="A206" s="1" t="str">
        <f t="shared" si="9"/>
        <v>2020/05/13</v>
      </c>
      <c r="B206" s="1" t="str">
        <f>"10:00"</f>
        <v>10:00</v>
      </c>
      <c r="C206" s="2"/>
      <c r="D206" s="2">
        <f>1.0187478</f>
        <v>1.0187478000000001</v>
      </c>
      <c r="E206" s="2">
        <f>1.0555711</f>
        <v>1.0555711000000001</v>
      </c>
      <c r="F206" s="2"/>
      <c r="G206" s="2">
        <f>7.8454165</f>
        <v>7.8454164999999998</v>
      </c>
      <c r="H206" s="2"/>
      <c r="I206" s="2">
        <f>20.22631</f>
        <v>20.226310000000002</v>
      </c>
      <c r="J206" s="2"/>
      <c r="K206" s="2">
        <f>32.255604</f>
        <v>32.255603999999998</v>
      </c>
      <c r="L206" s="5"/>
      <c r="M206" s="6">
        <v>0.84267234999999996</v>
      </c>
      <c r="N206" s="2"/>
      <c r="O206" s="2">
        <f>48.95167</f>
        <v>48.95167</v>
      </c>
      <c r="P206" s="2">
        <f>61.78879</f>
        <v>61.788789999999999</v>
      </c>
    </row>
    <row r="207" spans="1:16" ht="17">
      <c r="A207" s="1" t="str">
        <f t="shared" si="9"/>
        <v>2020/05/13</v>
      </c>
      <c r="B207" s="1" t="str">
        <f>"11:00"</f>
        <v>11:00</v>
      </c>
      <c r="C207" s="2"/>
      <c r="D207" s="2">
        <f>1.0219038</f>
        <v>1.0219038</v>
      </c>
      <c r="E207" s="2">
        <f>0.9710317</f>
        <v>0.97103170000000005</v>
      </c>
      <c r="F207" s="2"/>
      <c r="G207" s="2">
        <f>3.8790405</f>
        <v>3.8790404999999999</v>
      </c>
      <c r="H207" s="2"/>
      <c r="I207" s="2">
        <f>11.470536</f>
        <v>11.470535999999999</v>
      </c>
      <c r="J207" s="2"/>
      <c r="K207" s="2">
        <f>17.418177</f>
        <v>17.418177</v>
      </c>
      <c r="L207" s="5"/>
      <c r="M207" s="6">
        <v>0.87647085999999996</v>
      </c>
      <c r="N207" s="2"/>
      <c r="O207" s="2">
        <f>53.9312</f>
        <v>53.931199999999997</v>
      </c>
      <c r="P207" s="2">
        <f>81.88709</f>
        <v>81.887090000000001</v>
      </c>
    </row>
    <row r="208" spans="1:16" ht="17">
      <c r="A208" s="1" t="str">
        <f t="shared" si="9"/>
        <v>2020/05/13</v>
      </c>
      <c r="B208" s="1" t="str">
        <f>"12:00"</f>
        <v>12:00</v>
      </c>
      <c r="C208" s="2"/>
      <c r="D208" s="2">
        <f>1.0276976</f>
        <v>1.0276976</v>
      </c>
      <c r="E208" s="2">
        <f>0.9618686</f>
        <v>0.96186859999999996</v>
      </c>
      <c r="F208" s="2"/>
      <c r="G208" s="2">
        <f>4.199836</f>
        <v>4.1998360000000003</v>
      </c>
      <c r="H208" s="2"/>
      <c r="I208" s="2">
        <f>17.057875</f>
        <v>17.057874999999999</v>
      </c>
      <c r="J208" s="2"/>
      <c r="K208" s="2">
        <f>22.670065</f>
        <v>22.670065000000001</v>
      </c>
      <c r="L208" s="5"/>
      <c r="M208" s="6">
        <v>1.2601089999999999</v>
      </c>
      <c r="N208" s="2"/>
      <c r="O208" s="2">
        <f>57.781647</f>
        <v>57.781647</v>
      </c>
      <c r="P208" s="2">
        <f>86.24458</f>
        <v>86.244579999999999</v>
      </c>
    </row>
    <row r="209" spans="1:16" ht="17">
      <c r="A209" s="1" t="str">
        <f t="shared" si="9"/>
        <v>2020/05/13</v>
      </c>
      <c r="B209" s="1" t="str">
        <f>"13:00"</f>
        <v>13:00</v>
      </c>
      <c r="C209" s="2"/>
      <c r="D209" s="2">
        <f>1.0277101</f>
        <v>1.0277101</v>
      </c>
      <c r="E209" s="2">
        <f>0.9423119</f>
        <v>0.94231189999999998</v>
      </c>
      <c r="F209" s="2"/>
      <c r="G209" s="2">
        <f>2.8143039</f>
        <v>2.8143039000000001</v>
      </c>
      <c r="H209" s="2"/>
      <c r="I209" s="2">
        <f>10.259931</f>
        <v>10.259931</v>
      </c>
      <c r="J209" s="2"/>
      <c r="K209" s="2">
        <f>14.575013</f>
        <v>14.575013</v>
      </c>
      <c r="L209" s="5"/>
      <c r="M209" s="6">
        <v>1.1795278</v>
      </c>
      <c r="N209" s="2"/>
      <c r="O209" s="2">
        <f>62.18899</f>
        <v>62.188989999999997</v>
      </c>
      <c r="P209" s="2">
        <f>90.64945</f>
        <v>90.649450000000002</v>
      </c>
    </row>
    <row r="210" spans="1:16" ht="17">
      <c r="A210" s="1" t="str">
        <f t="shared" si="9"/>
        <v>2020/05/13</v>
      </c>
      <c r="B210" s="1" t="str">
        <f>"14:00"</f>
        <v>14:00</v>
      </c>
      <c r="C210" s="2"/>
      <c r="D210" s="2">
        <f>1.0226729</f>
        <v>1.0226729000000001</v>
      </c>
      <c r="E210" s="2">
        <f>0.92992175</f>
        <v>0.92992174999999999</v>
      </c>
      <c r="F210" s="2"/>
      <c r="G210" s="2">
        <f>3.6075046</f>
        <v>3.6075046</v>
      </c>
      <c r="H210" s="2"/>
      <c r="I210" s="2">
        <f>8.717178</f>
        <v>8.7171780000000005</v>
      </c>
      <c r="J210" s="2"/>
      <c r="K210" s="2">
        <f>12.710005</f>
        <v>12.710005000000001</v>
      </c>
      <c r="L210" s="5"/>
      <c r="M210" s="6">
        <v>1.1847401</v>
      </c>
      <c r="N210" s="2"/>
      <c r="O210" s="2">
        <f>67.7959</f>
        <v>67.795900000000003</v>
      </c>
      <c r="P210" s="2">
        <f>93.16676</f>
        <v>93.166759999999996</v>
      </c>
    </row>
    <row r="211" spans="1:16" ht="17">
      <c r="A211" s="1" t="str">
        <f t="shared" si="9"/>
        <v>2020/05/13</v>
      </c>
      <c r="B211" s="1" t="str">
        <f>"15:00"</f>
        <v>15:00</v>
      </c>
      <c r="C211" s="2"/>
      <c r="D211" s="2">
        <f>1.0095414</f>
        <v>1.0095414</v>
      </c>
      <c r="E211" s="2">
        <f>0.9255688</f>
        <v>0.92556879999999997</v>
      </c>
      <c r="F211" s="2"/>
      <c r="G211" s="2">
        <f>1.730373</f>
        <v>1.7303729999999999</v>
      </c>
      <c r="H211" s="2"/>
      <c r="I211" s="2">
        <f>7.98606</f>
        <v>7.9860600000000002</v>
      </c>
      <c r="J211" s="2"/>
      <c r="K211" s="2">
        <f>10.639387</f>
        <v>10.639386999999999</v>
      </c>
      <c r="L211" s="5"/>
      <c r="M211" s="6">
        <v>1.0362849000000001</v>
      </c>
      <c r="N211" s="2"/>
      <c r="O211" s="2">
        <f>74.47508</f>
        <v>74.475080000000005</v>
      </c>
      <c r="P211" s="2">
        <f>93.091415</f>
        <v>93.091414999999998</v>
      </c>
    </row>
    <row r="212" spans="1:16" ht="17">
      <c r="A212" s="1" t="str">
        <f t="shared" si="9"/>
        <v>2020/05/13</v>
      </c>
      <c r="B212" s="1" t="str">
        <f>"16:00"</f>
        <v>16:00</v>
      </c>
      <c r="C212" s="2"/>
      <c r="D212" s="2">
        <f>0.98536456</f>
        <v>0.98536455999999994</v>
      </c>
      <c r="E212" s="2">
        <f>0.93323374</f>
        <v>0.93323374000000003</v>
      </c>
      <c r="F212" s="2"/>
      <c r="G212" s="2">
        <f>1.8373934</f>
        <v>1.8373934000000001</v>
      </c>
      <c r="H212" s="2"/>
      <c r="I212" s="2">
        <f>8.06083</f>
        <v>8.0608299999999993</v>
      </c>
      <c r="J212" s="2"/>
      <c r="K212" s="2">
        <f>10.877999</f>
        <v>10.877999000000001</v>
      </c>
      <c r="L212" s="5"/>
      <c r="M212" s="6">
        <v>1.0255737</v>
      </c>
      <c r="N212" s="2"/>
      <c r="O212" s="2">
        <f>81.00412</f>
        <v>81.00412</v>
      </c>
      <c r="P212" s="2">
        <f>92.80815</f>
        <v>92.808149999999998</v>
      </c>
    </row>
    <row r="213" spans="1:16" ht="17">
      <c r="A213" s="1" t="str">
        <f t="shared" si="9"/>
        <v>2020/05/13</v>
      </c>
      <c r="B213" s="1" t="str">
        <f>"17:00"</f>
        <v>17:00</v>
      </c>
      <c r="C213" s="2"/>
      <c r="D213" s="2">
        <f>0.9574472</f>
        <v>0.95744720000000005</v>
      </c>
      <c r="E213" s="2">
        <f>0.94006985</f>
        <v>0.94006984999999998</v>
      </c>
      <c r="F213" s="2"/>
      <c r="G213" s="2">
        <f>2.0128062</f>
        <v>2.0128062</v>
      </c>
      <c r="H213" s="2"/>
      <c r="I213" s="2">
        <f>8.815937</f>
        <v>8.8159369999999999</v>
      </c>
      <c r="J213" s="2"/>
      <c r="K213" s="2">
        <f>11.8568325</f>
        <v>11.856832499999999</v>
      </c>
      <c r="L213" s="5"/>
      <c r="M213" s="6">
        <v>1.1674144</v>
      </c>
      <c r="N213" s="2"/>
      <c r="O213" s="2">
        <f>86.734055</f>
        <v>86.734054999999998</v>
      </c>
      <c r="P213" s="2">
        <f>94.2362</f>
        <v>94.236199999999997</v>
      </c>
    </row>
    <row r="214" spans="1:16" ht="17">
      <c r="A214" s="1" t="str">
        <f t="shared" si="9"/>
        <v>2020/05/13</v>
      </c>
      <c r="B214" s="1" t="str">
        <f>"18:00"</f>
        <v>18:00</v>
      </c>
      <c r="C214" s="2"/>
      <c r="D214" s="2">
        <f>0.9456259</f>
        <v>0.94562590000000002</v>
      </c>
      <c r="E214" s="2">
        <f>0.96100086</f>
        <v>0.96100085999999996</v>
      </c>
      <c r="F214" s="2"/>
      <c r="G214" s="2">
        <f>1.9501016</f>
        <v>1.9501016</v>
      </c>
      <c r="H214" s="2"/>
      <c r="I214" s="2">
        <f>11.58546</f>
        <v>11.585459999999999</v>
      </c>
      <c r="J214" s="2"/>
      <c r="K214" s="2">
        <f>14.57033</f>
        <v>14.57033</v>
      </c>
      <c r="L214" s="5"/>
      <c r="M214" s="6">
        <v>1.041515</v>
      </c>
      <c r="N214" s="2"/>
      <c r="O214" s="2">
        <f>90.11462</f>
        <v>90.114620000000002</v>
      </c>
      <c r="P214" s="2">
        <f>88.83325</f>
        <v>88.833250000000007</v>
      </c>
    </row>
    <row r="215" spans="1:16" ht="17">
      <c r="A215" s="1" t="str">
        <f t="shared" si="9"/>
        <v>2020/05/13</v>
      </c>
      <c r="B215" s="1" t="str">
        <f>"19:00"</f>
        <v>19:00</v>
      </c>
      <c r="C215" s="2"/>
      <c r="D215" s="2">
        <f>0.94918144</f>
        <v>0.94918144000000004</v>
      </c>
      <c r="E215" s="2">
        <f>0.99947625</f>
        <v>0.99947624999999995</v>
      </c>
      <c r="F215" s="2"/>
      <c r="G215" s="2">
        <f>2.5771818</f>
        <v>2.5771818</v>
      </c>
      <c r="H215" s="2"/>
      <c r="I215" s="2">
        <f>15.121166</f>
        <v>15.121166000000001</v>
      </c>
      <c r="J215" s="2"/>
      <c r="K215" s="2">
        <f>19.075546</f>
        <v>19.075545999999999</v>
      </c>
      <c r="L215" s="5"/>
      <c r="M215" s="6">
        <v>1.0636212</v>
      </c>
      <c r="N215" s="2"/>
      <c r="O215" s="2">
        <f>89.6386</f>
        <v>89.638599999999997</v>
      </c>
      <c r="P215" s="2">
        <f>78.079</f>
        <v>78.078999999999994</v>
      </c>
    </row>
    <row r="216" spans="1:16" ht="17">
      <c r="A216" s="1" t="str">
        <f t="shared" si="9"/>
        <v>2020/05/13</v>
      </c>
      <c r="B216" s="1" t="str">
        <f>"20:00"</f>
        <v>20:00</v>
      </c>
      <c r="C216" s="2"/>
      <c r="D216" s="2">
        <f>0.95358014</f>
        <v>0.95358014000000002</v>
      </c>
      <c r="E216" s="2">
        <f>0.997058</f>
        <v>0.997058</v>
      </c>
      <c r="F216" s="2"/>
      <c r="G216" s="2">
        <f>2.2569623</f>
        <v>2.2569623000000001</v>
      </c>
      <c r="H216" s="2"/>
      <c r="I216" s="2">
        <f>14.108057</f>
        <v>14.108057000000001</v>
      </c>
      <c r="J216" s="2"/>
      <c r="K216" s="2">
        <f>17.566414</f>
        <v>17.566414000000002</v>
      </c>
      <c r="L216" s="5"/>
      <c r="M216" s="6">
        <v>1.0519499000000001</v>
      </c>
      <c r="N216" s="2"/>
      <c r="O216" s="2">
        <f>88.8059</f>
        <v>88.805899999999994</v>
      </c>
      <c r="P216" s="2">
        <f>79.58297</f>
        <v>79.582970000000003</v>
      </c>
    </row>
    <row r="217" spans="1:16" ht="17">
      <c r="A217" s="1" t="str">
        <f t="shared" si="9"/>
        <v>2020/05/13</v>
      </c>
      <c r="B217" s="1" t="str">
        <f>"21:00"</f>
        <v>21:00</v>
      </c>
      <c r="C217" s="2"/>
      <c r="D217" s="2">
        <f>0.96057975</f>
        <v>0.96057974999999995</v>
      </c>
      <c r="E217" s="2">
        <f>0.99830866</f>
        <v>0.99830865999999996</v>
      </c>
      <c r="F217" s="2"/>
      <c r="G217" s="2">
        <f>1.4592531</f>
        <v>1.4592531</v>
      </c>
      <c r="H217" s="2"/>
      <c r="I217" s="2">
        <f>14.1451235</f>
        <v>14.1451235</v>
      </c>
      <c r="J217" s="2"/>
      <c r="K217" s="2">
        <f>16.38227</f>
        <v>16.382269999999998</v>
      </c>
      <c r="L217" s="5"/>
      <c r="M217" s="6">
        <v>0.95686305000000005</v>
      </c>
      <c r="N217" s="2"/>
      <c r="O217" s="2">
        <f>87.11725</f>
        <v>87.117249999999999</v>
      </c>
      <c r="P217" s="2">
        <f>77.14024</f>
        <v>77.140240000000006</v>
      </c>
    </row>
    <row r="218" spans="1:16" ht="17">
      <c r="A218" s="1" t="str">
        <f t="shared" si="9"/>
        <v>2020/05/13</v>
      </c>
      <c r="B218" s="1" t="str">
        <f>"22:00"</f>
        <v>22:00</v>
      </c>
      <c r="C218" s="2"/>
      <c r="D218" s="2">
        <f>0.9672771</f>
        <v>0.9672771</v>
      </c>
      <c r="E218" s="2">
        <f>0.98350084</f>
        <v>0.98350084000000004</v>
      </c>
      <c r="F218" s="2"/>
      <c r="G218" s="2">
        <f>1.2144026</f>
        <v>1.2144026000000001</v>
      </c>
      <c r="H218" s="2"/>
      <c r="I218" s="2">
        <f>13.914152</f>
        <v>13.914152</v>
      </c>
      <c r="J218" s="2"/>
      <c r="K218" s="2">
        <f>15.776449</f>
        <v>15.776449</v>
      </c>
      <c r="L218" s="5"/>
      <c r="M218" s="6">
        <v>0.90176296</v>
      </c>
      <c r="N218" s="2"/>
      <c r="O218" s="2">
        <f>84.75457</f>
        <v>84.754570000000001</v>
      </c>
      <c r="P218" s="2">
        <f>74.26535</f>
        <v>74.265349999999998</v>
      </c>
    </row>
    <row r="219" spans="1:16" ht="17">
      <c r="A219" s="1" t="str">
        <f t="shared" si="9"/>
        <v>2020/05/13</v>
      </c>
      <c r="B219" s="1" t="str">
        <f>"23:00"</f>
        <v>23:00</v>
      </c>
      <c r="C219" s="2"/>
      <c r="D219" s="2">
        <f>0.96981806</f>
        <v>0.96981806000000004</v>
      </c>
      <c r="E219" s="2">
        <f>0.9458961</f>
        <v>0.94589610000000002</v>
      </c>
      <c r="F219" s="2"/>
      <c r="G219" s="2">
        <f>1.0091392</f>
        <v>1.0091391999999999</v>
      </c>
      <c r="H219" s="2"/>
      <c r="I219" s="2">
        <f>6.96602</f>
        <v>6.9660200000000003</v>
      </c>
      <c r="J219" s="2"/>
      <c r="K219" s="2">
        <f>8.513384</f>
        <v>8.5133840000000003</v>
      </c>
      <c r="L219" s="5"/>
      <c r="M219" s="6">
        <v>0.86903936000000004</v>
      </c>
      <c r="N219" s="2"/>
      <c r="O219" s="2">
        <f>82.84775</f>
        <v>82.847750000000005</v>
      </c>
      <c r="P219" s="2">
        <f>77.83681</f>
        <v>77.83681</v>
      </c>
    </row>
    <row r="220" spans="1:16" ht="17">
      <c r="A220" s="1" t="str">
        <f t="shared" si="9"/>
        <v>2020/05/13</v>
      </c>
      <c r="B220" s="1" t="str">
        <f>"24:00"</f>
        <v>24:00</v>
      </c>
      <c r="C220" s="2"/>
      <c r="D220" s="2">
        <f>0.9702968</f>
        <v>0.97029679999999996</v>
      </c>
      <c r="E220" s="2">
        <f>0.93706375</f>
        <v>0.93706374999999997</v>
      </c>
      <c r="F220" s="2"/>
      <c r="G220" s="2">
        <f>0.78186905</f>
        <v>0.78186904999999995</v>
      </c>
      <c r="H220" s="2"/>
      <c r="I220" s="2">
        <f>4.493559</f>
        <v>4.4935590000000003</v>
      </c>
      <c r="J220" s="2"/>
      <c r="K220" s="2">
        <f>5.692364</f>
        <v>5.6923640000000004</v>
      </c>
      <c r="L220" s="5"/>
      <c r="M220" s="6">
        <v>0.87702219999999997</v>
      </c>
      <c r="N220" s="2"/>
      <c r="O220" s="2">
        <f>81.225</f>
        <v>81.224999999999994</v>
      </c>
      <c r="P220" s="2">
        <f>79.82618</f>
        <v>79.826179999999994</v>
      </c>
    </row>
    <row r="221" spans="1:16" ht="17">
      <c r="A221" s="1" t="str">
        <f t="shared" ref="A221:A244" si="10">"2020/05/14"</f>
        <v>2020/05/14</v>
      </c>
      <c r="B221" s="1" t="str">
        <f>"01:00"</f>
        <v>01:00</v>
      </c>
      <c r="C221" s="2">
        <f>0.95648867</f>
        <v>0.95648867000000004</v>
      </c>
      <c r="D221" s="2">
        <f>0.96839416</f>
        <v>0.96839416</v>
      </c>
      <c r="E221" s="2">
        <f>0.92484885</f>
        <v>0.92484884999999994</v>
      </c>
      <c r="F221" s="2">
        <f>2.8069804</f>
        <v>2.8069804</v>
      </c>
      <c r="G221" s="2">
        <f>0.70871913</f>
        <v>0.70871912999999997</v>
      </c>
      <c r="H221" s="2">
        <f>11.089452</f>
        <v>11.089452</v>
      </c>
      <c r="I221" s="2">
        <f>3.68855</f>
        <v>3.6885500000000002</v>
      </c>
      <c r="J221" s="2">
        <f>15.264667</f>
        <v>15.264666999999999</v>
      </c>
      <c r="K221" s="2">
        <f>4.775304</f>
        <v>4.7753040000000002</v>
      </c>
      <c r="L221" s="5">
        <v>1.1218649000000001</v>
      </c>
      <c r="M221" s="6">
        <v>0.85891366000000002</v>
      </c>
      <c r="N221" s="2">
        <f>78.40267</f>
        <v>78.402670000000001</v>
      </c>
      <c r="O221" s="2">
        <f>79.79013</f>
        <v>79.790130000000005</v>
      </c>
      <c r="P221" s="2">
        <f>82.75726</f>
        <v>82.757260000000002</v>
      </c>
    </row>
    <row r="222" spans="1:16" ht="17">
      <c r="A222" s="1" t="str">
        <f t="shared" si="10"/>
        <v>2020/05/14</v>
      </c>
      <c r="B222" s="1" t="str">
        <f>"02:00"</f>
        <v>02:00</v>
      </c>
      <c r="C222" s="2"/>
      <c r="D222" s="2">
        <f>0.96403897</f>
        <v>0.96403897000000005</v>
      </c>
      <c r="E222" s="2">
        <f>0.9261591</f>
        <v>0.92615910000000001</v>
      </c>
      <c r="F222" s="2"/>
      <c r="G222" s="2">
        <f>0.696759</f>
        <v>0.69675900000000002</v>
      </c>
      <c r="H222" s="2"/>
      <c r="I222" s="2">
        <f>4.2776623</f>
        <v>4.2776623000000003</v>
      </c>
      <c r="J222" s="2"/>
      <c r="K222" s="2">
        <f>5.3459563</f>
        <v>5.3459563000000001</v>
      </c>
      <c r="L222" s="5"/>
      <c r="M222" s="6">
        <v>0.89130719999999997</v>
      </c>
      <c r="N222" s="2"/>
      <c r="O222" s="2">
        <f>78.40122</f>
        <v>78.401219999999995</v>
      </c>
      <c r="P222" s="2">
        <f>77.72196</f>
        <v>77.721959999999996</v>
      </c>
    </row>
    <row r="223" spans="1:16" ht="17">
      <c r="A223" s="1" t="str">
        <f t="shared" si="10"/>
        <v>2020/05/14</v>
      </c>
      <c r="B223" s="1" t="str">
        <f>"03:00"</f>
        <v>03:00</v>
      </c>
      <c r="C223" s="2"/>
      <c r="D223" s="2">
        <f>0.95649195</f>
        <v>0.95649194999999998</v>
      </c>
      <c r="E223" s="2">
        <f>0.93910056</f>
        <v>0.93910055999999997</v>
      </c>
      <c r="F223" s="2"/>
      <c r="G223" s="2">
        <f>0.6566483</f>
        <v>0.65664829999999996</v>
      </c>
      <c r="H223" s="2"/>
      <c r="I223" s="2">
        <f>4.571735</f>
        <v>4.5717350000000003</v>
      </c>
      <c r="J223" s="2"/>
      <c r="K223" s="2">
        <f>5.5786247</f>
        <v>5.5786246999999998</v>
      </c>
      <c r="L223" s="5"/>
      <c r="M223" s="6">
        <v>0.78155993999999995</v>
      </c>
      <c r="N223" s="2"/>
      <c r="O223" s="2">
        <f>78.20333</f>
        <v>78.203329999999994</v>
      </c>
      <c r="P223" s="2">
        <f>76.495865</f>
        <v>76.495864999999995</v>
      </c>
    </row>
    <row r="224" spans="1:16" ht="17">
      <c r="A224" s="1" t="str">
        <f t="shared" si="10"/>
        <v>2020/05/14</v>
      </c>
      <c r="B224" s="1" t="str">
        <f>"04:00"</f>
        <v>04:00</v>
      </c>
      <c r="C224" s="2"/>
      <c r="D224" s="2">
        <f>0.9494715</f>
        <v>0.94947150000000002</v>
      </c>
      <c r="E224" s="2">
        <f>0.9408937</f>
        <v>0.94089370000000006</v>
      </c>
      <c r="F224" s="2"/>
      <c r="G224" s="2">
        <f>0.66607153</f>
        <v>0.66607152999999997</v>
      </c>
      <c r="H224" s="2"/>
      <c r="I224" s="2">
        <f>4.7045317</f>
        <v>4.7045317000000004</v>
      </c>
      <c r="J224" s="2"/>
      <c r="K224" s="2">
        <f>5.7258387</f>
        <v>5.7258386999999997</v>
      </c>
      <c r="L224" s="5"/>
      <c r="M224" s="6">
        <v>0.8120058</v>
      </c>
      <c r="N224" s="2"/>
      <c r="O224" s="2">
        <f>77.942696</f>
        <v>77.942695999999998</v>
      </c>
      <c r="P224" s="2">
        <f>77.49787</f>
        <v>77.497870000000006</v>
      </c>
    </row>
    <row r="225" spans="1:16" ht="17">
      <c r="A225" s="1" t="str">
        <f t="shared" si="10"/>
        <v>2020/05/14</v>
      </c>
      <c r="B225" s="1" t="str">
        <f>"05:00"</f>
        <v>05:00</v>
      </c>
      <c r="C225" s="2"/>
      <c r="D225" s="2">
        <f>0.9421573</f>
        <v>0.94215729999999998</v>
      </c>
      <c r="E225" s="2">
        <f>0.9397959</f>
        <v>0.93979590000000002</v>
      </c>
      <c r="F225" s="2"/>
      <c r="G225" s="2">
        <f>0.6743269</f>
        <v>0.67432689999999995</v>
      </c>
      <c r="H225" s="2"/>
      <c r="I225" s="2">
        <f>4.9386353</f>
        <v>4.9386352999999996</v>
      </c>
      <c r="J225" s="2"/>
      <c r="K225" s="2">
        <f>5.972565</f>
        <v>5.9725650000000003</v>
      </c>
      <c r="L225" s="5"/>
      <c r="M225" s="6">
        <v>0.78657246000000003</v>
      </c>
      <c r="N225" s="2"/>
      <c r="O225" s="2">
        <f>77.772575</f>
        <v>77.772575000000003</v>
      </c>
      <c r="P225" s="2">
        <f>75.779305</f>
        <v>75.779304999999994</v>
      </c>
    </row>
    <row r="226" spans="1:16" ht="17">
      <c r="A226" s="1" t="str">
        <f t="shared" si="10"/>
        <v>2020/05/14</v>
      </c>
      <c r="B226" s="1" t="str">
        <f>"06:00"</f>
        <v>06:00</v>
      </c>
      <c r="C226" s="2"/>
      <c r="D226" s="2">
        <f>0.9391252</f>
        <v>0.93912519999999999</v>
      </c>
      <c r="E226" s="2">
        <f>0.9592433</f>
        <v>0.95924330000000002</v>
      </c>
      <c r="F226" s="2"/>
      <c r="G226" s="2">
        <f>0.8233668</f>
        <v>0.82336679999999995</v>
      </c>
      <c r="H226" s="2"/>
      <c r="I226" s="2">
        <f>7.340536</f>
        <v>7.3405360000000002</v>
      </c>
      <c r="J226" s="2"/>
      <c r="K226" s="2">
        <f>8.603008</f>
        <v>8.6030080000000009</v>
      </c>
      <c r="L226" s="5"/>
      <c r="M226" s="6">
        <v>0.98561609999999999</v>
      </c>
      <c r="N226" s="2"/>
      <c r="O226" s="2">
        <f>77.21644</f>
        <v>77.216440000000006</v>
      </c>
      <c r="P226" s="2">
        <f>69.81625</f>
        <v>69.816249999999997</v>
      </c>
    </row>
    <row r="227" spans="1:16" ht="17">
      <c r="A227" s="1" t="str">
        <f t="shared" si="10"/>
        <v>2020/05/14</v>
      </c>
      <c r="B227" s="1" t="str">
        <f>"07:00"</f>
        <v>07:00</v>
      </c>
      <c r="C227" s="2"/>
      <c r="D227" s="2">
        <f>0.9431716</f>
        <v>0.9431716</v>
      </c>
      <c r="E227" s="2">
        <f>0.978268</f>
        <v>0.97826800000000003</v>
      </c>
      <c r="F227" s="2"/>
      <c r="G227" s="2">
        <f>1.4521797</f>
        <v>1.4521797000000001</v>
      </c>
      <c r="H227" s="2"/>
      <c r="I227" s="2">
        <f>11.098838</f>
        <v>11.098838000000001</v>
      </c>
      <c r="J227" s="2"/>
      <c r="K227" s="2">
        <f>13.325469</f>
        <v>13.325469</v>
      </c>
      <c r="L227" s="5"/>
      <c r="M227" s="6">
        <v>0.93564044999999996</v>
      </c>
      <c r="N227" s="2"/>
      <c r="O227" s="2">
        <f>76.18099</f>
        <v>76.180989999999994</v>
      </c>
      <c r="P227" s="2">
        <f>69.55325</f>
        <v>69.553250000000006</v>
      </c>
    </row>
    <row r="228" spans="1:16" ht="17">
      <c r="A228" s="1" t="str">
        <f t="shared" si="10"/>
        <v>2020/05/14</v>
      </c>
      <c r="B228" s="1" t="str">
        <f>"08:00"</f>
        <v>08:00</v>
      </c>
      <c r="C228" s="2"/>
      <c r="D228" s="2">
        <f>0.95351577</f>
        <v>0.95351576999999998</v>
      </c>
      <c r="E228" s="2">
        <f>1.0198169</f>
        <v>1.0198168999999999</v>
      </c>
      <c r="F228" s="2"/>
      <c r="G228" s="2">
        <f>2.2563226</f>
        <v>2.2563225999999998</v>
      </c>
      <c r="H228" s="2"/>
      <c r="I228" s="2">
        <f>17.140697</f>
        <v>17.140696999999999</v>
      </c>
      <c r="J228" s="2"/>
      <c r="K228" s="2">
        <f>20.600182</f>
        <v>20.600182</v>
      </c>
      <c r="L228" s="5"/>
      <c r="M228" s="6">
        <v>1.1474835999999999</v>
      </c>
      <c r="N228" s="2"/>
      <c r="O228" s="2">
        <f>74.07972</f>
        <v>74.079719999999995</v>
      </c>
      <c r="P228" s="2">
        <f>63.01598</f>
        <v>63.015979999999999</v>
      </c>
    </row>
    <row r="229" spans="1:16" ht="17">
      <c r="A229" s="1" t="str">
        <f t="shared" si="10"/>
        <v>2020/05/14</v>
      </c>
      <c r="B229" s="1" t="str">
        <f>"09:00"</f>
        <v>09:00</v>
      </c>
      <c r="C229" s="2"/>
      <c r="D229" s="2">
        <f>0.96837974</f>
        <v>0.96837974000000004</v>
      </c>
      <c r="E229" s="2">
        <f>1.0437604</f>
        <v>1.0437604</v>
      </c>
      <c r="F229" s="2"/>
      <c r="G229" s="2">
        <f>3.1381917</f>
        <v>3.1381917000000001</v>
      </c>
      <c r="H229" s="2"/>
      <c r="I229" s="2">
        <f>17.132347</f>
        <v>17.132346999999999</v>
      </c>
      <c r="J229" s="2"/>
      <c r="K229" s="2">
        <f>21.943417</f>
        <v>21.943417</v>
      </c>
      <c r="L229" s="5"/>
      <c r="M229" s="6">
        <v>1.2059342</v>
      </c>
      <c r="N229" s="2"/>
      <c r="O229" s="2">
        <f>71.84327</f>
        <v>71.843270000000004</v>
      </c>
      <c r="P229" s="2">
        <f>64.86566</f>
        <v>64.865660000000005</v>
      </c>
    </row>
    <row r="230" spans="1:16" ht="17">
      <c r="A230" s="1" t="str">
        <f t="shared" si="10"/>
        <v>2020/05/14</v>
      </c>
      <c r="B230" s="1" t="str">
        <f>"10:00"</f>
        <v>10:00</v>
      </c>
      <c r="C230" s="2"/>
      <c r="D230" s="2">
        <f>0.9805004</f>
        <v>0.98050040000000005</v>
      </c>
      <c r="E230" s="2">
        <f>1.0231246</f>
        <v>1.0231246000000001</v>
      </c>
      <c r="F230" s="2"/>
      <c r="G230" s="2">
        <f>3.6167724</f>
        <v>3.6167723999999999</v>
      </c>
      <c r="H230" s="2"/>
      <c r="I230" s="2">
        <f>14.960397</f>
        <v>14.960397</v>
      </c>
      <c r="J230" s="2"/>
      <c r="K230" s="2">
        <f>20.506208</f>
        <v>20.506208000000001</v>
      </c>
      <c r="L230" s="5"/>
      <c r="M230" s="6">
        <v>1.0057031999999999</v>
      </c>
      <c r="N230" s="2"/>
      <c r="O230" s="2">
        <f>70.340324</f>
        <v>70.340323999999995</v>
      </c>
      <c r="P230" s="2">
        <f>65.69838</f>
        <v>65.69838</v>
      </c>
    </row>
    <row r="231" spans="1:16" ht="17">
      <c r="A231" s="1" t="str">
        <f t="shared" si="10"/>
        <v>2020/05/14</v>
      </c>
      <c r="B231" s="1" t="str">
        <f>"11:00"</f>
        <v>11:00</v>
      </c>
      <c r="C231" s="2"/>
      <c r="D231" s="2">
        <f>0.98439056</f>
        <v>0.98439056000000003</v>
      </c>
      <c r="E231" s="2">
        <f>0.9702216</f>
        <v>0.97022160000000002</v>
      </c>
      <c r="F231" s="2"/>
      <c r="G231" s="2">
        <f>3.3468335</f>
        <v>3.3468334999999998</v>
      </c>
      <c r="H231" s="2"/>
      <c r="I231" s="2">
        <f>11.700619</f>
        <v>11.700619</v>
      </c>
      <c r="J231" s="2"/>
      <c r="K231" s="2">
        <f>16.832233</f>
        <v>16.832232999999999</v>
      </c>
      <c r="L231" s="5"/>
      <c r="M231" s="6">
        <v>1.4058769</v>
      </c>
      <c r="N231" s="2"/>
      <c r="O231" s="2">
        <f>70.507095</f>
        <v>70.507095000000007</v>
      </c>
      <c r="P231" s="2">
        <f>77.830086</f>
        <v>77.830085999999994</v>
      </c>
    </row>
    <row r="232" spans="1:16" ht="17">
      <c r="A232" s="1" t="str">
        <f t="shared" si="10"/>
        <v>2020/05/14</v>
      </c>
      <c r="B232" s="1" t="str">
        <f>"12:00"</f>
        <v>12:00</v>
      </c>
      <c r="C232" s="2"/>
      <c r="D232" s="2">
        <f>0.9843811</f>
        <v>0.98438110000000001</v>
      </c>
      <c r="E232" s="2">
        <f>0.94081813</f>
        <v>0.94081813000000003</v>
      </c>
      <c r="F232" s="2"/>
      <c r="G232" s="2">
        <f>5.251682</f>
        <v>5.2516819999999997</v>
      </c>
      <c r="H232" s="2"/>
      <c r="I232" s="2">
        <f>12.640738</f>
        <v>12.640738000000001</v>
      </c>
      <c r="J232" s="2"/>
      <c r="K232" s="2">
        <f>20.68221</f>
        <v>20.682210000000001</v>
      </c>
      <c r="L232" s="5"/>
      <c r="M232" s="6">
        <v>1.3783118000000001</v>
      </c>
      <c r="N232" s="2"/>
      <c r="O232" s="2">
        <f>71.86858</f>
        <v>71.868579999999994</v>
      </c>
      <c r="P232" s="2">
        <f>88.38977</f>
        <v>88.389769999999999</v>
      </c>
    </row>
    <row r="233" spans="1:16" ht="17">
      <c r="A233" s="1" t="str">
        <f t="shared" si="10"/>
        <v>2020/05/14</v>
      </c>
      <c r="B233" s="1" t="str">
        <f>"13:00"</f>
        <v>13:00</v>
      </c>
      <c r="C233" s="2"/>
      <c r="D233" s="2">
        <f>0.98371285</f>
        <v>0.98371284999999997</v>
      </c>
      <c r="E233" s="2">
        <f>0.9344498</f>
        <v>0.9344498</v>
      </c>
      <c r="F233" s="2"/>
      <c r="G233" s="2">
        <f>7.231319</f>
        <v>7.2313190000000001</v>
      </c>
      <c r="H233" s="2"/>
      <c r="I233" s="2">
        <f>12.633345</f>
        <v>12.633345</v>
      </c>
      <c r="J233" s="2"/>
      <c r="K233" s="2">
        <f>22.523626</f>
        <v>22.523626</v>
      </c>
      <c r="L233" s="5"/>
      <c r="M233" s="6">
        <v>1.3194357000000001</v>
      </c>
      <c r="N233" s="2"/>
      <c r="O233" s="2">
        <f>73.559944</f>
        <v>73.559944000000002</v>
      </c>
      <c r="P233" s="2">
        <f>89.31018</f>
        <v>89.310180000000003</v>
      </c>
    </row>
    <row r="234" spans="1:16" ht="17">
      <c r="A234" s="1" t="str">
        <f t="shared" si="10"/>
        <v>2020/05/14</v>
      </c>
      <c r="B234" s="1" t="str">
        <f>"14:00"</f>
        <v>14:00</v>
      </c>
      <c r="C234" s="2"/>
      <c r="D234" s="2">
        <f>0.97717595</f>
        <v>0.97717595000000002</v>
      </c>
      <c r="E234" s="2">
        <f>0.906948</f>
        <v>0.90694799999999998</v>
      </c>
      <c r="F234" s="2"/>
      <c r="G234" s="2">
        <f>2.0303597</f>
        <v>2.0303597</v>
      </c>
      <c r="H234" s="2"/>
      <c r="I234" s="2">
        <f>7.1714277</f>
        <v>7.1714276999999997</v>
      </c>
      <c r="J234" s="2"/>
      <c r="K234" s="2">
        <f>10.176893</f>
        <v>10.176893</v>
      </c>
      <c r="L234" s="5"/>
      <c r="M234" s="6">
        <v>1.1995944999999999</v>
      </c>
      <c r="N234" s="2"/>
      <c r="O234" s="2">
        <f>76.91162</f>
        <v>76.911619999999999</v>
      </c>
      <c r="P234" s="2">
        <f>96.62966</f>
        <v>96.629660000000001</v>
      </c>
    </row>
    <row r="235" spans="1:16" ht="17">
      <c r="A235" s="1" t="str">
        <f t="shared" si="10"/>
        <v>2020/05/14</v>
      </c>
      <c r="B235" s="1" t="str">
        <f>"15:00"</f>
        <v>15:00</v>
      </c>
      <c r="C235" s="2"/>
      <c r="D235" s="2">
        <f>0.96860254</f>
        <v>0.96860254000000001</v>
      </c>
      <c r="E235" s="2">
        <f>0.9096807</f>
        <v>0.90968070000000001</v>
      </c>
      <c r="F235" s="2"/>
      <c r="G235" s="2">
        <f>2.4128323</f>
        <v>2.4128322999999998</v>
      </c>
      <c r="H235" s="2"/>
      <c r="I235" s="2">
        <f>6.6549997</f>
        <v>6.6549997000000003</v>
      </c>
      <c r="J235" s="2"/>
      <c r="K235" s="2">
        <f>9.553968</f>
        <v>9.5539679999999993</v>
      </c>
      <c r="L235" s="5"/>
      <c r="M235" s="6">
        <v>1.1493126</v>
      </c>
      <c r="N235" s="2"/>
      <c r="O235" s="2">
        <f>79.582214</f>
        <v>79.582213999999993</v>
      </c>
      <c r="P235" s="2">
        <f>90.91797</f>
        <v>90.917969999999997</v>
      </c>
    </row>
    <row r="236" spans="1:16" ht="17">
      <c r="A236" s="1" t="str">
        <f t="shared" si="10"/>
        <v>2020/05/14</v>
      </c>
      <c r="B236" s="1" t="str">
        <f>"16:00"</f>
        <v>16:00</v>
      </c>
      <c r="C236" s="2"/>
      <c r="D236" s="2">
        <f>0.9563154</f>
        <v>0.95631540000000004</v>
      </c>
      <c r="E236" s="2">
        <f>0.9215198</f>
        <v>0.9215198</v>
      </c>
      <c r="F236" s="2"/>
      <c r="G236" s="2">
        <f>1.9205655</f>
        <v>1.9205654999999999</v>
      </c>
      <c r="H236" s="2"/>
      <c r="I236" s="2">
        <f>7.4302936</f>
        <v>7.4302935999999997</v>
      </c>
      <c r="J236" s="2"/>
      <c r="K236" s="2">
        <f>10.375135</f>
        <v>10.375135</v>
      </c>
      <c r="L236" s="5"/>
      <c r="M236" s="6">
        <v>1.4664347</v>
      </c>
      <c r="N236" s="2"/>
      <c r="O236" s="2">
        <f>82.593704</f>
        <v>82.593704000000002</v>
      </c>
      <c r="P236" s="2">
        <f>87.10795</f>
        <v>87.107950000000002</v>
      </c>
    </row>
    <row r="237" spans="1:16" ht="17">
      <c r="A237" s="1" t="str">
        <f t="shared" si="10"/>
        <v>2020/05/14</v>
      </c>
      <c r="B237" s="1" t="str">
        <f>"17:00"</f>
        <v>17:00</v>
      </c>
      <c r="C237" s="2"/>
      <c r="D237" s="2">
        <f>0.9434134</f>
        <v>0.94341339999999996</v>
      </c>
      <c r="E237" s="2">
        <f>0.9405445</f>
        <v>0.94054450000000001</v>
      </c>
      <c r="F237" s="2"/>
      <c r="G237" s="2">
        <f>1.9560593</f>
        <v>1.9560592999999999</v>
      </c>
      <c r="H237" s="2"/>
      <c r="I237" s="2">
        <f>8.576672</f>
        <v>8.5766720000000003</v>
      </c>
      <c r="J237" s="2"/>
      <c r="K237" s="2">
        <f>11.576083</f>
        <v>11.576083000000001</v>
      </c>
      <c r="L237" s="5"/>
      <c r="M237" s="6">
        <v>1.194771</v>
      </c>
      <c r="N237" s="2"/>
      <c r="O237" s="2">
        <f>84.97862</f>
        <v>84.978620000000006</v>
      </c>
      <c r="P237" s="2">
        <f>83.945015</f>
        <v>83.945014999999998</v>
      </c>
    </row>
    <row r="238" spans="1:16" ht="17">
      <c r="A238" s="1" t="str">
        <f t="shared" si="10"/>
        <v>2020/05/14</v>
      </c>
      <c r="B238" s="1" t="str">
        <f>"18:00"</f>
        <v>18:00</v>
      </c>
      <c r="C238" s="2"/>
      <c r="D238" s="2">
        <f>0.9351975</f>
        <v>0.93519750000000001</v>
      </c>
      <c r="E238" s="2">
        <f>0.9573971</f>
        <v>0.9573971</v>
      </c>
      <c r="F238" s="2"/>
      <c r="G238" s="2">
        <f>3.104139</f>
        <v>3.104139</v>
      </c>
      <c r="H238" s="2"/>
      <c r="I238" s="2">
        <f>12.780052</f>
        <v>12.780052</v>
      </c>
      <c r="J238" s="2"/>
      <c r="K238" s="2">
        <f>17.539478</f>
        <v>17.539477999999999</v>
      </c>
      <c r="L238" s="5"/>
      <c r="M238" s="6">
        <v>1.5151631000000001</v>
      </c>
      <c r="N238" s="2"/>
      <c r="O238" s="2">
        <f>86.554245</f>
        <v>86.554244999999995</v>
      </c>
      <c r="P238" s="2">
        <f>78.30334</f>
        <v>78.303340000000006</v>
      </c>
    </row>
    <row r="239" spans="1:16" ht="17">
      <c r="A239" s="1" t="str">
        <f t="shared" si="10"/>
        <v>2020/05/14</v>
      </c>
      <c r="B239" s="1" t="str">
        <f>"19:00"</f>
        <v>19:00</v>
      </c>
      <c r="C239" s="2"/>
      <c r="D239" s="2">
        <f>0.9329827</f>
        <v>0.93298270000000005</v>
      </c>
      <c r="E239" s="2">
        <f>0.9525034</f>
        <v>0.9525034</v>
      </c>
      <c r="F239" s="2"/>
      <c r="G239" s="2">
        <f>2.6422553</f>
        <v>2.6422553</v>
      </c>
      <c r="H239" s="2"/>
      <c r="I239" s="2">
        <f>13.49898</f>
        <v>13.49898</v>
      </c>
      <c r="J239" s="2"/>
      <c r="K239" s="2">
        <f>17.55038</f>
        <v>17.550380000000001</v>
      </c>
      <c r="L239" s="5"/>
      <c r="M239" s="6">
        <v>1.3899356</v>
      </c>
      <c r="N239" s="2"/>
      <c r="O239" s="2">
        <f>86.769875</f>
        <v>86.769874999999999</v>
      </c>
      <c r="P239" s="2">
        <f>79.55513</f>
        <v>79.555130000000005</v>
      </c>
    </row>
    <row r="240" spans="1:16" ht="17">
      <c r="A240" s="1" t="str">
        <f t="shared" si="10"/>
        <v>2020/05/14</v>
      </c>
      <c r="B240" s="1" t="str">
        <f>"20:00"</f>
        <v>20:00</v>
      </c>
      <c r="C240" s="2"/>
      <c r="D240" s="2">
        <f>0.93414664</f>
        <v>0.93414664000000003</v>
      </c>
      <c r="E240" s="2">
        <f>0.9501298</f>
        <v>0.95012980000000002</v>
      </c>
      <c r="F240" s="2"/>
      <c r="G240" s="2">
        <f>2.3130062</f>
        <v>2.3130061999999998</v>
      </c>
      <c r="H240" s="2"/>
      <c r="I240" s="2">
        <f>14.351773</f>
        <v>14.351773</v>
      </c>
      <c r="J240" s="2"/>
      <c r="K240" s="2">
        <f>17.898409</f>
        <v>17.898409000000001</v>
      </c>
      <c r="L240" s="5"/>
      <c r="M240" s="6">
        <v>1.1039395000000001</v>
      </c>
      <c r="N240" s="2"/>
      <c r="O240" s="2">
        <f>85.77501</f>
        <v>85.775009999999995</v>
      </c>
      <c r="P240" s="2">
        <f>80.43085</f>
        <v>80.430850000000007</v>
      </c>
    </row>
    <row r="241" spans="1:16" ht="17">
      <c r="A241" s="1" t="str">
        <f t="shared" si="10"/>
        <v>2020/05/14</v>
      </c>
      <c r="B241" s="1" t="str">
        <f>"21:00"</f>
        <v>21:00</v>
      </c>
      <c r="C241" s="2"/>
      <c r="D241" s="2">
        <f>0.9406312</f>
        <v>0.9406312</v>
      </c>
      <c r="E241" s="2">
        <f>0.98632634</f>
        <v>0.98632633999999997</v>
      </c>
      <c r="F241" s="2"/>
      <c r="G241" s="2">
        <f>3.0420036</f>
        <v>3.0420036000000001</v>
      </c>
      <c r="H241" s="2"/>
      <c r="I241" s="2">
        <f>16.43662</f>
        <v>16.436620000000001</v>
      </c>
      <c r="J241" s="2"/>
      <c r="K241" s="2">
        <f>21.10088</f>
        <v>21.10088</v>
      </c>
      <c r="L241" s="5"/>
      <c r="M241" s="6">
        <v>0.99458133999999998</v>
      </c>
      <c r="N241" s="2"/>
      <c r="O241" s="2">
        <f>84.26822</f>
        <v>84.268219999999999</v>
      </c>
      <c r="P241" s="2">
        <f>77.25584</f>
        <v>77.255840000000006</v>
      </c>
    </row>
    <row r="242" spans="1:16" ht="17">
      <c r="A242" s="1" t="str">
        <f t="shared" si="10"/>
        <v>2020/05/14</v>
      </c>
      <c r="B242" s="1" t="str">
        <f>"22:00"</f>
        <v>22:00</v>
      </c>
      <c r="C242" s="2"/>
      <c r="D242" s="2">
        <f>0.9528457</f>
        <v>0.95284570000000002</v>
      </c>
      <c r="E242" s="2">
        <f>1.0046637</f>
        <v>1.0046637</v>
      </c>
      <c r="F242" s="2"/>
      <c r="G242" s="2">
        <f>4.953999</f>
        <v>4.9539989999999996</v>
      </c>
      <c r="H242" s="2"/>
      <c r="I242" s="2">
        <f>22.43944</f>
        <v>22.439440000000001</v>
      </c>
      <c r="J242" s="2"/>
      <c r="K242" s="2">
        <f>30.035141</f>
        <v>30.035140999999999</v>
      </c>
      <c r="L242" s="5"/>
      <c r="M242" s="6">
        <v>1.2024163000000001</v>
      </c>
      <c r="N242" s="2"/>
      <c r="O242" s="2">
        <f>80.85321</f>
        <v>80.853210000000004</v>
      </c>
      <c r="P242" s="2">
        <f>69.30962</f>
        <v>69.309619999999995</v>
      </c>
    </row>
    <row r="243" spans="1:16" ht="17">
      <c r="A243" s="1" t="str">
        <f t="shared" si="10"/>
        <v>2020/05/14</v>
      </c>
      <c r="B243" s="1" t="str">
        <f>"23:00"</f>
        <v>23:00</v>
      </c>
      <c r="C243" s="2"/>
      <c r="D243" s="2">
        <f>0.9569908</f>
        <v>0.95699080000000003</v>
      </c>
      <c r="E243" s="2">
        <f>0.9428414</f>
        <v>0.94284140000000005</v>
      </c>
      <c r="F243" s="2"/>
      <c r="G243" s="2">
        <f>1.9335837</f>
        <v>1.9335837</v>
      </c>
      <c r="H243" s="2"/>
      <c r="I243" s="2">
        <f>7.971753</f>
        <v>7.9717529999999996</v>
      </c>
      <c r="J243" s="2"/>
      <c r="K243" s="2">
        <f>10.936476</f>
        <v>10.936476000000001</v>
      </c>
      <c r="L243" s="5"/>
      <c r="M243" s="6">
        <v>1.0967465999999999</v>
      </c>
      <c r="N243" s="2"/>
      <c r="O243" s="2">
        <f>80.01991</f>
        <v>80.019909999999996</v>
      </c>
      <c r="P243" s="2">
        <f>84.25155</f>
        <v>84.251549999999995</v>
      </c>
    </row>
    <row r="244" spans="1:16" ht="17">
      <c r="A244" s="1" t="str">
        <f t="shared" si="10"/>
        <v>2020/05/14</v>
      </c>
      <c r="B244" s="1" t="str">
        <f>"24:00"</f>
        <v>24:00</v>
      </c>
      <c r="C244" s="2"/>
      <c r="D244" s="2">
        <f>0.9596349</f>
        <v>0.95963489999999996</v>
      </c>
      <c r="E244" s="2">
        <f>0.942673</f>
        <v>0.94267299999999998</v>
      </c>
      <c r="F244" s="2"/>
      <c r="G244" s="2">
        <f>10.539532</f>
        <v>10.539531999999999</v>
      </c>
      <c r="H244" s="2"/>
      <c r="I244" s="2">
        <f>22.00621</f>
        <v>22.006209999999999</v>
      </c>
      <c r="J244" s="2"/>
      <c r="K244" s="2">
        <f>37.19452</f>
        <v>37.194519999999997</v>
      </c>
      <c r="L244" s="5"/>
      <c r="M244" s="6">
        <v>1.0975021</v>
      </c>
      <c r="N244" s="2"/>
      <c r="O244" s="2">
        <f>78.534584</f>
        <v>78.534583999999995</v>
      </c>
      <c r="P244" s="2">
        <f>75.22535</f>
        <v>75.225350000000006</v>
      </c>
    </row>
    <row r="245" spans="1:16" ht="17">
      <c r="A245" s="1" t="str">
        <f t="shared" ref="A245:A268" si="11">"2020/05/15"</f>
        <v>2020/05/15</v>
      </c>
      <c r="B245" s="1" t="str">
        <f>"01:00"</f>
        <v>01:00</v>
      </c>
      <c r="C245" s="2">
        <f>1.0183369</f>
        <v>1.0183369</v>
      </c>
      <c r="D245" s="2">
        <f>0.9579021</f>
        <v>0.95790209999999998</v>
      </c>
      <c r="E245" s="2">
        <f>0.9266817</f>
        <v>0.92668170000000005</v>
      </c>
      <c r="F245" s="2">
        <f>4.1244054</f>
        <v>4.1244053999999997</v>
      </c>
      <c r="G245" s="2">
        <f>0.687846</f>
        <v>0.68784599999999996</v>
      </c>
      <c r="H245" s="2">
        <f>18.365889</f>
        <v>18.365888999999999</v>
      </c>
      <c r="I245" s="2">
        <f>4.647095</f>
        <v>4.6470950000000002</v>
      </c>
      <c r="J245" s="2">
        <f>24.422262</f>
        <v>24.422262</v>
      </c>
      <c r="K245" s="2">
        <f>5.699739</f>
        <v>5.6997390000000001</v>
      </c>
      <c r="L245" s="5">
        <v>0.91171970000000002</v>
      </c>
      <c r="M245" s="6">
        <v>0.96547097000000004</v>
      </c>
      <c r="N245" s="2">
        <f>75.88436</f>
        <v>75.884360000000001</v>
      </c>
      <c r="O245" s="2">
        <f>78.97528</f>
        <v>78.975279999999998</v>
      </c>
      <c r="P245" s="2">
        <f>87.47057</f>
        <v>87.470569999999995</v>
      </c>
    </row>
    <row r="246" spans="1:16" ht="17">
      <c r="A246" s="1" t="str">
        <f t="shared" si="11"/>
        <v>2020/05/15</v>
      </c>
      <c r="B246" s="1" t="str">
        <f>"02:00"</f>
        <v>02:00</v>
      </c>
      <c r="C246" s="2"/>
      <c r="D246" s="2">
        <f>0.9541412</f>
        <v>0.95414120000000002</v>
      </c>
      <c r="E246" s="2">
        <f>0.9273103</f>
        <v>0.92731030000000003</v>
      </c>
      <c r="F246" s="2"/>
      <c r="G246" s="2">
        <f>0.6847611</f>
        <v>0.68476110000000001</v>
      </c>
      <c r="H246" s="2"/>
      <c r="I246" s="2">
        <f>4.1466365</f>
        <v>4.1466364999999996</v>
      </c>
      <c r="J246" s="2"/>
      <c r="K246" s="2">
        <f>5.1966405</f>
        <v>5.1966405</v>
      </c>
      <c r="L246" s="5"/>
      <c r="M246" s="6">
        <v>1.0055571000000001</v>
      </c>
      <c r="N246" s="2"/>
      <c r="O246" s="2">
        <f>79.808304</f>
        <v>79.808304000000007</v>
      </c>
      <c r="P246" s="2">
        <f>84.967514</f>
        <v>84.967513999999994</v>
      </c>
    </row>
    <row r="247" spans="1:16" ht="17">
      <c r="A247" s="1" t="str">
        <f t="shared" si="11"/>
        <v>2020/05/15</v>
      </c>
      <c r="B247" s="1" t="str">
        <f>"03:00"</f>
        <v>03:00</v>
      </c>
      <c r="C247" s="2"/>
      <c r="D247" s="2">
        <f>0.94944847</f>
        <v>0.94944846999999999</v>
      </c>
      <c r="E247" s="2">
        <f>0.9149617</f>
        <v>0.91496169999999999</v>
      </c>
      <c r="F247" s="2"/>
      <c r="G247" s="2">
        <f>0.74316895</f>
        <v>0.74316895000000005</v>
      </c>
      <c r="H247" s="2"/>
      <c r="I247" s="2">
        <f>3.330718</f>
        <v>3.3307180000000001</v>
      </c>
      <c r="J247" s="2"/>
      <c r="K247" s="2">
        <f>4.470191</f>
        <v>4.4701909999999998</v>
      </c>
      <c r="L247" s="5"/>
      <c r="M247" s="6">
        <v>0.93970925000000005</v>
      </c>
      <c r="N247" s="2"/>
      <c r="O247" s="2">
        <f>80.99252</f>
        <v>80.992519999999999</v>
      </c>
      <c r="P247" s="2">
        <f>89.02889</f>
        <v>89.028890000000004</v>
      </c>
    </row>
    <row r="248" spans="1:16" ht="17">
      <c r="A248" s="1" t="str">
        <f t="shared" si="11"/>
        <v>2020/05/15</v>
      </c>
      <c r="B248" s="1" t="str">
        <f>"04:00"</f>
        <v>04:00</v>
      </c>
      <c r="C248" s="2"/>
      <c r="D248" s="2">
        <f>0.9464903</f>
        <v>0.94649030000000001</v>
      </c>
      <c r="E248" s="2">
        <f>0.92646426</f>
        <v>0.92646426000000004</v>
      </c>
      <c r="F248" s="2"/>
      <c r="G248" s="2">
        <f>0.699395</f>
        <v>0.69939499999999999</v>
      </c>
      <c r="H248" s="2"/>
      <c r="I248" s="2">
        <f>4.5567937</f>
        <v>4.5567937000000001</v>
      </c>
      <c r="J248" s="2"/>
      <c r="K248" s="2">
        <f>5.629139</f>
        <v>5.6291390000000003</v>
      </c>
      <c r="L248" s="5"/>
      <c r="M248" s="6">
        <v>0.78491116000000005</v>
      </c>
      <c r="N248" s="2"/>
      <c r="O248" s="2">
        <f>81.45117</f>
        <v>81.451170000000005</v>
      </c>
      <c r="P248" s="2">
        <f>84.100044</f>
        <v>84.100043999999997</v>
      </c>
    </row>
    <row r="249" spans="1:16" ht="17">
      <c r="A249" s="1" t="str">
        <f t="shared" si="11"/>
        <v>2020/05/15</v>
      </c>
      <c r="B249" s="1" t="str">
        <f>"05:00"</f>
        <v>05:00</v>
      </c>
      <c r="C249" s="2"/>
      <c r="D249" s="2">
        <f>0.93979126</f>
        <v>0.93979126000000002</v>
      </c>
      <c r="E249" s="2">
        <f>0.93273413</f>
        <v>0.93273413000000005</v>
      </c>
      <c r="F249" s="2"/>
      <c r="G249" s="2">
        <f>3.8656976</f>
        <v>3.8656975999999998</v>
      </c>
      <c r="H249" s="2"/>
      <c r="I249" s="2">
        <f>10.739751</f>
        <v>10.739751</v>
      </c>
      <c r="J249" s="2"/>
      <c r="K249" s="2">
        <f>16.254286</f>
        <v>16.254286</v>
      </c>
      <c r="L249" s="5"/>
      <c r="M249" s="6">
        <v>0.73271905999999998</v>
      </c>
      <c r="N249" s="2"/>
      <c r="O249" s="2">
        <f>81.25534</f>
        <v>81.255340000000004</v>
      </c>
      <c r="P249" s="2">
        <f>75.68916</f>
        <v>75.689160000000001</v>
      </c>
    </row>
    <row r="250" spans="1:16" ht="17">
      <c r="A250" s="1" t="str">
        <f t="shared" si="11"/>
        <v>2020/05/15</v>
      </c>
      <c r="B250" s="1" t="str">
        <f>"06:00"</f>
        <v>06:00</v>
      </c>
      <c r="C250" s="2"/>
      <c r="D250" s="2">
        <f>0.93235457</f>
        <v>0.93235456999999999</v>
      </c>
      <c r="E250" s="2">
        <f>0.94516987</f>
        <v>0.94516986999999997</v>
      </c>
      <c r="F250" s="2"/>
      <c r="G250" s="2">
        <f>1.0610453</f>
        <v>1.0610453</v>
      </c>
      <c r="H250" s="2"/>
      <c r="I250" s="2">
        <f>6.2138605</f>
        <v>6.2138605</v>
      </c>
      <c r="J250" s="2"/>
      <c r="K250" s="2">
        <f>7.840625</f>
        <v>7.8406250000000002</v>
      </c>
      <c r="L250" s="5"/>
      <c r="M250" s="6">
        <v>0.78381880000000004</v>
      </c>
      <c r="N250" s="2"/>
      <c r="O250" s="2">
        <f>82.18061</f>
        <v>82.180610000000001</v>
      </c>
      <c r="P250" s="2">
        <f>76.711815</f>
        <v>76.711815000000001</v>
      </c>
    </row>
    <row r="251" spans="1:16" ht="17">
      <c r="A251" s="1" t="str">
        <f t="shared" si="11"/>
        <v>2020/05/15</v>
      </c>
      <c r="B251" s="1" t="str">
        <f>"07:00"</f>
        <v>07:00</v>
      </c>
      <c r="C251" s="2"/>
      <c r="D251" s="2">
        <f>0.9336616</f>
        <v>0.93366159999999998</v>
      </c>
      <c r="E251" s="2">
        <f>0.9532979</f>
        <v>0.95329790000000003</v>
      </c>
      <c r="F251" s="2"/>
      <c r="G251" s="2">
        <f>2.8744407</f>
        <v>2.8744407000000001</v>
      </c>
      <c r="H251" s="2"/>
      <c r="I251" s="2">
        <f>12.856256</f>
        <v>12.856256</v>
      </c>
      <c r="J251" s="2"/>
      <c r="K251" s="2">
        <f>17.217964</f>
        <v>17.217963999999998</v>
      </c>
      <c r="L251" s="5"/>
      <c r="M251" s="6">
        <v>0.77442409999999995</v>
      </c>
      <c r="N251" s="2"/>
      <c r="O251" s="2">
        <f>80.35669</f>
        <v>80.35669</v>
      </c>
      <c r="P251" s="2">
        <f>69.66013</f>
        <v>69.660129999999995</v>
      </c>
    </row>
    <row r="252" spans="1:16" ht="17">
      <c r="A252" s="1" t="str">
        <f t="shared" si="11"/>
        <v>2020/05/15</v>
      </c>
      <c r="B252" s="1" t="str">
        <f>"08:00"</f>
        <v>08:00</v>
      </c>
      <c r="C252" s="2"/>
      <c r="D252" s="2">
        <f>0.93813616</f>
        <v>0.93813616</v>
      </c>
      <c r="E252" s="2">
        <f>0.97846943</f>
        <v>0.97846942999999997</v>
      </c>
      <c r="F252" s="2"/>
      <c r="G252" s="2">
        <f>3.9545054</f>
        <v>3.9545053999999999</v>
      </c>
      <c r="H252" s="2"/>
      <c r="I252" s="2">
        <f>14.55364</f>
        <v>14.55364</v>
      </c>
      <c r="J252" s="2"/>
      <c r="K252" s="2">
        <f>20.611097</f>
        <v>20.611097000000001</v>
      </c>
      <c r="L252" s="5"/>
      <c r="M252" s="6">
        <v>0.83784013999999996</v>
      </c>
      <c r="N252" s="2"/>
      <c r="O252" s="2">
        <f>79.05205</f>
        <v>79.052049999999994</v>
      </c>
      <c r="P252" s="2">
        <f>64.78825</f>
        <v>64.788250000000005</v>
      </c>
    </row>
    <row r="253" spans="1:16" ht="17">
      <c r="A253" s="1" t="str">
        <f t="shared" si="11"/>
        <v>2020/05/15</v>
      </c>
      <c r="B253" s="1" t="str">
        <f>"09:00"</f>
        <v>09:00</v>
      </c>
      <c r="C253" s="2"/>
      <c r="D253" s="2">
        <f>0.9530379</f>
        <v>0.95303789999999999</v>
      </c>
      <c r="E253" s="2">
        <f>1.0458956</f>
        <v>1.0458955999999999</v>
      </c>
      <c r="F253" s="2"/>
      <c r="G253" s="2">
        <f>7.1167994</f>
        <v>7.1167993999999997</v>
      </c>
      <c r="H253" s="2"/>
      <c r="I253" s="2">
        <f>23.502876</f>
        <v>23.502876000000001</v>
      </c>
      <c r="J253" s="2"/>
      <c r="K253" s="2">
        <f>34.414406</f>
        <v>34.414406</v>
      </c>
      <c r="L253" s="5"/>
      <c r="M253" s="6">
        <v>0.79995495000000005</v>
      </c>
      <c r="N253" s="2"/>
      <c r="O253" s="2">
        <f>75.560616</f>
        <v>75.560615999999996</v>
      </c>
      <c r="P253" s="2">
        <f>59.53912</f>
        <v>59.539119999999997</v>
      </c>
    </row>
    <row r="254" spans="1:16" ht="17">
      <c r="A254" s="1" t="str">
        <f t="shared" si="11"/>
        <v>2020/05/15</v>
      </c>
      <c r="B254" s="1" t="str">
        <f>"10:00"</f>
        <v>10:00</v>
      </c>
      <c r="C254" s="2"/>
      <c r="D254" s="2">
        <f>0.9818188</f>
        <v>0.98181879999999999</v>
      </c>
      <c r="E254" s="2">
        <f>1.1575576</f>
        <v>1.1575576000000001</v>
      </c>
      <c r="F254" s="2"/>
      <c r="G254" s="2">
        <f>10.697228</f>
        <v>10.697228000000001</v>
      </c>
      <c r="H254" s="2"/>
      <c r="I254" s="2">
        <f>24.619146</f>
        <v>24.619146000000001</v>
      </c>
      <c r="J254" s="2"/>
      <c r="K254" s="2">
        <f>39.977108</f>
        <v>39.977108000000001</v>
      </c>
      <c r="L254" s="5"/>
      <c r="M254" s="6">
        <v>0.94737815999999997</v>
      </c>
      <c r="N254" s="2"/>
      <c r="O254" s="2">
        <f>72.74173</f>
        <v>72.741730000000004</v>
      </c>
      <c r="P254" s="2">
        <f>62.41639</f>
        <v>62.41639</v>
      </c>
    </row>
    <row r="255" spans="1:16" ht="17">
      <c r="A255" s="1" t="str">
        <f t="shared" si="11"/>
        <v>2020/05/15</v>
      </c>
      <c r="B255" s="1" t="str">
        <f>"11:00"</f>
        <v>11:00</v>
      </c>
      <c r="C255" s="2"/>
      <c r="D255" s="2">
        <f>1.0012902</f>
        <v>1.0012901999999999</v>
      </c>
      <c r="E255" s="2">
        <f>1.0707328</f>
        <v>1.0707328</v>
      </c>
      <c r="F255" s="2"/>
      <c r="G255" s="2">
        <f>15.332563</f>
        <v>15.332563</v>
      </c>
      <c r="H255" s="2"/>
      <c r="I255" s="2">
        <f>23.39183</f>
        <v>23.391829999999999</v>
      </c>
      <c r="J255" s="2"/>
      <c r="K255" s="2">
        <f>42.51206</f>
        <v>42.512059999999998</v>
      </c>
      <c r="L255" s="5"/>
      <c r="M255" s="6">
        <v>0.92976329999999996</v>
      </c>
      <c r="N255" s="2"/>
      <c r="O255" s="2">
        <f>70.30516</f>
        <v>70.305160000000001</v>
      </c>
      <c r="P255" s="2">
        <f>69.53634</f>
        <v>69.536339999999996</v>
      </c>
    </row>
    <row r="256" spans="1:16" ht="17">
      <c r="A256" s="1" t="str">
        <f t="shared" si="11"/>
        <v>2020/05/15</v>
      </c>
      <c r="B256" s="1" t="str">
        <f>"12:00"</f>
        <v>12:00</v>
      </c>
      <c r="C256" s="2"/>
      <c r="D256" s="2">
        <f>1.013826</f>
        <v>1.0138259999999999</v>
      </c>
      <c r="E256" s="2">
        <f>1.0267506</f>
        <v>1.0267506</v>
      </c>
      <c r="F256" s="2"/>
      <c r="G256" s="2">
        <f>7.594509</f>
        <v>7.5945090000000004</v>
      </c>
      <c r="H256" s="2"/>
      <c r="I256" s="2">
        <f>17.015228</f>
        <v>17.015228</v>
      </c>
      <c r="J256" s="2"/>
      <c r="K256" s="2">
        <f>28.628357</f>
        <v>28.628357000000001</v>
      </c>
      <c r="L256" s="5"/>
      <c r="M256" s="6">
        <v>0.94203099999999995</v>
      </c>
      <c r="N256" s="2"/>
      <c r="O256" s="2">
        <f>69.752914</f>
        <v>69.752914000000004</v>
      </c>
      <c r="P256" s="2">
        <f>79.682076</f>
        <v>79.682075999999995</v>
      </c>
    </row>
    <row r="257" spans="1:16" ht="17">
      <c r="A257" s="1" t="str">
        <f t="shared" si="11"/>
        <v>2020/05/15</v>
      </c>
      <c r="B257" s="1" t="str">
        <f>"13:00"</f>
        <v>13:00</v>
      </c>
      <c r="C257" s="2"/>
      <c r="D257" s="2">
        <f>1.024759</f>
        <v>1.024759</v>
      </c>
      <c r="E257" s="2">
        <f>1.0201982</f>
        <v>1.0201982000000001</v>
      </c>
      <c r="F257" s="2"/>
      <c r="G257" s="2">
        <f>5.5499215</f>
        <v>5.5499215</v>
      </c>
      <c r="H257" s="2"/>
      <c r="I257" s="2">
        <f>20.331623</f>
        <v>20.331623</v>
      </c>
      <c r="J257" s="2"/>
      <c r="K257" s="2">
        <f>28.841227</f>
        <v>28.841227</v>
      </c>
      <c r="L257" s="5"/>
      <c r="M257" s="6">
        <v>0.96153549999999999</v>
      </c>
      <c r="N257" s="2"/>
      <c r="O257" s="2">
        <f>71.142746</f>
        <v>71.142746000000002</v>
      </c>
      <c r="P257" s="2">
        <f>86.80784</f>
        <v>86.807839999999999</v>
      </c>
    </row>
    <row r="258" spans="1:16" ht="17">
      <c r="A258" s="1" t="str">
        <f t="shared" si="11"/>
        <v>2020/05/15</v>
      </c>
      <c r="B258" s="1" t="str">
        <f>"14:00"</f>
        <v>14:00</v>
      </c>
      <c r="C258" s="2"/>
      <c r="D258" s="2">
        <f>1.028618</f>
        <v>1.028618</v>
      </c>
      <c r="E258" s="2">
        <f>0.9760421</f>
        <v>0.97604210000000002</v>
      </c>
      <c r="F258" s="2"/>
      <c r="G258" s="2">
        <f>3.9613314</f>
        <v>3.9613314000000002</v>
      </c>
      <c r="H258" s="2"/>
      <c r="I258" s="2">
        <f>12.291276</f>
        <v>12.291276</v>
      </c>
      <c r="J258" s="2"/>
      <c r="K258" s="2">
        <f>18.288906</f>
        <v>18.288906000000001</v>
      </c>
      <c r="L258" s="5"/>
      <c r="M258" s="6">
        <v>0.90976064999999995</v>
      </c>
      <c r="N258" s="2"/>
      <c r="O258" s="2">
        <f>73.48381</f>
        <v>73.483810000000005</v>
      </c>
      <c r="P258" s="2">
        <f>95.44035</f>
        <v>95.440349999999995</v>
      </c>
    </row>
    <row r="259" spans="1:16" ht="17">
      <c r="A259" s="1" t="str">
        <f t="shared" si="11"/>
        <v>2020/05/15</v>
      </c>
      <c r="B259" s="1" t="str">
        <f>"15:00"</f>
        <v>15:00</v>
      </c>
      <c r="C259" s="2"/>
      <c r="D259" s="2">
        <f>1.0299984</f>
        <v>1.0299984</v>
      </c>
      <c r="E259" s="2">
        <f>0.9643413</f>
        <v>0.96434129999999996</v>
      </c>
      <c r="F259" s="2"/>
      <c r="G259" s="2">
        <f>2.0723352</f>
        <v>2.0723351999999999</v>
      </c>
      <c r="H259" s="2"/>
      <c r="I259" s="2">
        <f>10.00946</f>
        <v>10.009460000000001</v>
      </c>
      <c r="J259" s="2"/>
      <c r="K259" s="2">
        <f>13.186974</f>
        <v>13.186973999999999</v>
      </c>
      <c r="L259" s="5"/>
      <c r="M259" s="6">
        <v>0.98135879999999998</v>
      </c>
      <c r="N259" s="2"/>
      <c r="O259" s="2">
        <f>77.932945</f>
        <v>77.932945000000004</v>
      </c>
      <c r="P259" s="2">
        <f>105.253174</f>
        <v>105.253174</v>
      </c>
    </row>
    <row r="260" spans="1:16" ht="17">
      <c r="A260" s="1" t="str">
        <f t="shared" si="11"/>
        <v>2020/05/15</v>
      </c>
      <c r="B260" s="1" t="str">
        <f>"16:00"</f>
        <v>16:00</v>
      </c>
      <c r="C260" s="2"/>
      <c r="D260" s="2">
        <f>1.0305028</f>
        <v>1.0305028000000001</v>
      </c>
      <c r="E260" s="2">
        <f>0.9825042</f>
        <v>0.98250420000000005</v>
      </c>
      <c r="F260" s="2"/>
      <c r="G260" s="2">
        <f>1.8006551</f>
        <v>1.8006551</v>
      </c>
      <c r="H260" s="2"/>
      <c r="I260" s="2">
        <f>10.6591215</f>
        <v>10.659121499999999</v>
      </c>
      <c r="J260" s="2"/>
      <c r="K260" s="2">
        <f>13.420254</f>
        <v>13.420254</v>
      </c>
      <c r="L260" s="5"/>
      <c r="M260" s="6">
        <v>1.0035803000000001</v>
      </c>
      <c r="N260" s="2"/>
      <c r="O260" s="2">
        <f>82.13886</f>
        <v>82.138859999999994</v>
      </c>
      <c r="P260" s="2">
        <f>98.43563</f>
        <v>98.435630000000003</v>
      </c>
    </row>
    <row r="261" spans="1:16" ht="17">
      <c r="A261" s="1" t="str">
        <f t="shared" si="11"/>
        <v>2020/05/15</v>
      </c>
      <c r="B261" s="1" t="str">
        <f>"17:00"</f>
        <v>17:00</v>
      </c>
      <c r="C261" s="2"/>
      <c r="D261" s="2">
        <f>1.0267023</f>
        <v>1.0267023</v>
      </c>
      <c r="E261" s="2">
        <f>1.0154917</f>
        <v>1.0154917000000001</v>
      </c>
      <c r="F261" s="2"/>
      <c r="G261" s="2">
        <f>2.753048</f>
        <v>2.7530480000000002</v>
      </c>
      <c r="H261" s="2"/>
      <c r="I261" s="2">
        <f>15.992509</f>
        <v>15.992509</v>
      </c>
      <c r="J261" s="2"/>
      <c r="K261" s="2">
        <f>20.214073</f>
        <v>20.214072999999999</v>
      </c>
      <c r="L261" s="5"/>
      <c r="M261" s="6">
        <v>0.83330053000000004</v>
      </c>
      <c r="N261" s="2"/>
      <c r="O261" s="2">
        <f>86.48498</f>
        <v>86.484979999999993</v>
      </c>
      <c r="P261" s="2">
        <f>94.30802</f>
        <v>94.308019999999999</v>
      </c>
    </row>
    <row r="262" spans="1:16" ht="17">
      <c r="A262" s="1" t="str">
        <f t="shared" si="11"/>
        <v>2020/05/15</v>
      </c>
      <c r="B262" s="1" t="str">
        <f>"18:00"</f>
        <v>18:00</v>
      </c>
      <c r="C262" s="2"/>
      <c r="D262" s="2">
        <f>1.0079291</f>
        <v>1.0079290999999999</v>
      </c>
      <c r="E262" s="2">
        <f>1.0073713</f>
        <v>1.0073713</v>
      </c>
      <c r="F262" s="2"/>
      <c r="G262" s="2">
        <f>5.0084414</f>
        <v>5.0084413999999997</v>
      </c>
      <c r="H262" s="2"/>
      <c r="I262" s="2">
        <f>18.106367</f>
        <v>18.106366999999999</v>
      </c>
      <c r="J262" s="2"/>
      <c r="K262" s="2">
        <f>25.688</f>
        <v>25.687999999999999</v>
      </c>
      <c r="L262" s="5"/>
      <c r="M262" s="6">
        <v>1.0815024</v>
      </c>
      <c r="N262" s="2"/>
      <c r="O262" s="2">
        <f>90.44826</f>
        <v>90.448260000000005</v>
      </c>
      <c r="P262" s="2">
        <f>94.122604</f>
        <v>94.122603999999995</v>
      </c>
    </row>
    <row r="263" spans="1:16" ht="17">
      <c r="A263" s="1" t="str">
        <f t="shared" si="11"/>
        <v>2020/05/15</v>
      </c>
      <c r="B263" s="1" t="str">
        <f>"19:00"</f>
        <v>19:00</v>
      </c>
      <c r="C263" s="2"/>
      <c r="D263" s="2">
        <f>1.0076022</f>
        <v>1.0076022</v>
      </c>
      <c r="E263" s="2">
        <f>1.068118</f>
        <v>1.0681179999999999</v>
      </c>
      <c r="F263" s="2"/>
      <c r="G263" s="2">
        <f>3.7453961</f>
        <v>3.7453960999999998</v>
      </c>
      <c r="H263" s="2"/>
      <c r="I263" s="2">
        <f>25.770552</f>
        <v>25.770551999999999</v>
      </c>
      <c r="J263" s="2"/>
      <c r="K263" s="2">
        <f>31.513401</f>
        <v>31.513401000000002</v>
      </c>
      <c r="L263" s="5"/>
      <c r="M263" s="6">
        <v>0.87189596999999996</v>
      </c>
      <c r="N263" s="2"/>
      <c r="O263" s="2">
        <f>91.91331</f>
        <v>91.913309999999996</v>
      </c>
      <c r="P263" s="2">
        <f>81.25676</f>
        <v>81.25676</v>
      </c>
    </row>
    <row r="264" spans="1:16" ht="17">
      <c r="A264" s="1" t="str">
        <f t="shared" si="11"/>
        <v>2020/05/15</v>
      </c>
      <c r="B264" s="1" t="str">
        <f>"20:00"</f>
        <v>20:00</v>
      </c>
      <c r="C264" s="2"/>
      <c r="D264" s="2">
        <f>1.0162874</f>
        <v>1.0162874</v>
      </c>
      <c r="E264" s="2">
        <f>1.096233</f>
        <v>1.096233</v>
      </c>
      <c r="F264" s="2"/>
      <c r="G264" s="2">
        <f>3.2330496</f>
        <v>3.2330496000000002</v>
      </c>
      <c r="H264" s="2"/>
      <c r="I264" s="2">
        <f>37.27316</f>
        <v>37.273159999999997</v>
      </c>
      <c r="J264" s="2"/>
      <c r="K264" s="2">
        <f>42.23072</f>
        <v>42.230719999999998</v>
      </c>
      <c r="L264" s="5"/>
      <c r="M264" s="6">
        <v>0.80725217000000005</v>
      </c>
      <c r="N264" s="2"/>
      <c r="O264" s="2">
        <f>90.78042</f>
        <v>90.780420000000007</v>
      </c>
      <c r="P264" s="2">
        <f>70.61899</f>
        <v>70.618989999999997</v>
      </c>
    </row>
    <row r="265" spans="1:16" ht="17">
      <c r="A265" s="1" t="str">
        <f t="shared" si="11"/>
        <v>2020/05/15</v>
      </c>
      <c r="B265" s="1" t="str">
        <f>"21:00"</f>
        <v>21:00</v>
      </c>
      <c r="C265" s="2"/>
      <c r="D265" s="2">
        <f>1.040923</f>
        <v>1.040923</v>
      </c>
      <c r="E265" s="2">
        <f>1.2172825</f>
        <v>1.2172825</v>
      </c>
      <c r="F265" s="2"/>
      <c r="G265" s="2">
        <f>3.9047604</f>
        <v>3.9047603999999998</v>
      </c>
      <c r="H265" s="2"/>
      <c r="I265" s="2">
        <f>42.05549</f>
        <v>42.055489999999999</v>
      </c>
      <c r="J265" s="2"/>
      <c r="K265" s="2">
        <f>48.04244</f>
        <v>48.042439999999999</v>
      </c>
      <c r="L265" s="5"/>
      <c r="M265" s="6">
        <v>1.1282645</v>
      </c>
      <c r="N265" s="2"/>
      <c r="O265" s="2">
        <f>86.87742</f>
        <v>86.877420000000001</v>
      </c>
      <c r="P265" s="2">
        <f>55.583794</f>
        <v>55.583793999999997</v>
      </c>
    </row>
    <row r="266" spans="1:16" ht="17">
      <c r="A266" s="1" t="str">
        <f t="shared" si="11"/>
        <v>2020/05/15</v>
      </c>
      <c r="B266" s="1" t="str">
        <f>"22:00"</f>
        <v>22:00</v>
      </c>
      <c r="C266" s="2"/>
      <c r="D266" s="2">
        <f>1.065751</f>
        <v>1.0657509999999999</v>
      </c>
      <c r="E266" s="2">
        <f>1.1746656</f>
        <v>1.1746656</v>
      </c>
      <c r="F266" s="2"/>
      <c r="G266" s="2">
        <f>6.4886656</f>
        <v>6.4886656</v>
      </c>
      <c r="H266" s="2"/>
      <c r="I266" s="2">
        <f>33.04752</f>
        <v>33.047519999999999</v>
      </c>
      <c r="J266" s="2"/>
      <c r="K266" s="2">
        <f>42.679844</f>
        <v>42.679844000000003</v>
      </c>
      <c r="L266" s="5"/>
      <c r="M266" s="6">
        <v>1.0211760000000001</v>
      </c>
      <c r="N266" s="2"/>
      <c r="O266" s="2">
        <f>81.177086</f>
        <v>81.177086000000003</v>
      </c>
      <c r="P266" s="2">
        <f>49.837692</f>
        <v>49.837691999999997</v>
      </c>
    </row>
    <row r="267" spans="1:16" ht="17">
      <c r="A267" s="1" t="str">
        <f t="shared" si="11"/>
        <v>2020/05/15</v>
      </c>
      <c r="B267" s="1" t="str">
        <f>"23:00"</f>
        <v>23:00</v>
      </c>
      <c r="C267" s="2"/>
      <c r="D267" s="2">
        <f>1.0812439</f>
        <v>1.0812439</v>
      </c>
      <c r="E267" s="2">
        <f>1.0882851</f>
        <v>1.0882851</v>
      </c>
      <c r="F267" s="2"/>
      <c r="G267" s="2">
        <f>2.1091235</f>
        <v>2.1091234999999999</v>
      </c>
      <c r="H267" s="2"/>
      <c r="I267" s="2">
        <f>37.871513</f>
        <v>37.871513</v>
      </c>
      <c r="J267" s="2"/>
      <c r="K267" s="2">
        <f>41.10613</f>
        <v>41.10613</v>
      </c>
      <c r="L267" s="5"/>
      <c r="M267" s="6">
        <v>0.9542467</v>
      </c>
      <c r="N267" s="2"/>
      <c r="O267" s="2">
        <f>73.20292</f>
        <v>73.202920000000006</v>
      </c>
      <c r="P267" s="2">
        <f>41.459858</f>
        <v>41.459857999999997</v>
      </c>
    </row>
    <row r="268" spans="1:16" ht="17">
      <c r="A268" s="1" t="str">
        <f t="shared" si="11"/>
        <v>2020/05/15</v>
      </c>
      <c r="B268" s="1" t="str">
        <f>"24:00"</f>
        <v>24:00</v>
      </c>
      <c r="C268" s="2"/>
      <c r="D268" s="2">
        <f>1.0863719</f>
        <v>1.0863719000000001</v>
      </c>
      <c r="E268" s="2">
        <f>1.0235276</f>
        <v>1.0235276</v>
      </c>
      <c r="F268" s="2"/>
      <c r="G268" s="2">
        <f>3.0470417</f>
        <v>3.0470416999999999</v>
      </c>
      <c r="H268" s="2"/>
      <c r="I268" s="2">
        <f>27.798912</f>
        <v>27.798912000000001</v>
      </c>
      <c r="J268" s="2"/>
      <c r="K268" s="2">
        <f>32.47073</f>
        <v>32.470730000000003</v>
      </c>
      <c r="L268" s="5"/>
      <c r="M268" s="6">
        <v>0.88382106999999999</v>
      </c>
      <c r="N268" s="2"/>
      <c r="O268" s="2">
        <f>66.46216</f>
        <v>66.462159999999997</v>
      </c>
      <c r="P268" s="2">
        <f>44.509556</f>
        <v>44.509556000000003</v>
      </c>
    </row>
    <row r="269" spans="1:16" ht="17">
      <c r="A269" s="1" t="str">
        <f t="shared" ref="A269:A292" si="12">"2020/05/16"</f>
        <v>2020/05/16</v>
      </c>
      <c r="B269" s="1" t="str">
        <f>"01:00"</f>
        <v>01:00</v>
      </c>
      <c r="C269" s="2">
        <f>0.9988358</f>
        <v>0.99883580000000005</v>
      </c>
      <c r="D269" s="2">
        <f>1.0747961</f>
        <v>1.0747960999999999</v>
      </c>
      <c r="E269" s="2">
        <f>0.9228851</f>
        <v>0.92288510000000001</v>
      </c>
      <c r="F269" s="2">
        <f>3.1353738</f>
        <v>3.1353738</v>
      </c>
      <c r="G269" s="2">
        <f>1.4283785</f>
        <v>1.4283785</v>
      </c>
      <c r="H269" s="2">
        <f>15.127772</f>
        <v>15.127772</v>
      </c>
      <c r="I269" s="2">
        <f>14.230945</f>
        <v>14.230945</v>
      </c>
      <c r="J269" s="2">
        <f>19.906477</f>
        <v>19.906476999999999</v>
      </c>
      <c r="K269" s="2">
        <f>16.420948</f>
        <v>16.420947999999999</v>
      </c>
      <c r="L269" s="5">
        <v>0.90513116000000005</v>
      </c>
      <c r="M269" s="6">
        <v>1.0551581000000001</v>
      </c>
      <c r="N269" s="2">
        <f>78.75157</f>
        <v>78.751570000000001</v>
      </c>
      <c r="O269" s="2">
        <f>62.468994</f>
        <v>62.468994000000002</v>
      </c>
      <c r="P269" s="2">
        <f>62.36271</f>
        <v>62.36271</v>
      </c>
    </row>
    <row r="270" spans="1:16" ht="17">
      <c r="A270" s="1" t="str">
        <f t="shared" si="12"/>
        <v>2020/05/16</v>
      </c>
      <c r="B270" s="1" t="str">
        <f>"02:00"</f>
        <v>02:00</v>
      </c>
      <c r="C270" s="2"/>
      <c r="D270" s="2">
        <f>1.0595957</f>
        <v>1.0595957</v>
      </c>
      <c r="E270" s="2">
        <f>0.88576835</f>
        <v>0.88576834999999998</v>
      </c>
      <c r="F270" s="2"/>
      <c r="G270" s="2">
        <f>0.8405505</f>
        <v>0.84055049999999998</v>
      </c>
      <c r="H270" s="2"/>
      <c r="I270" s="2">
        <f>8.167686</f>
        <v>8.1676859999999998</v>
      </c>
      <c r="J270" s="2"/>
      <c r="K270" s="2">
        <f>9.456522</f>
        <v>9.4565219999999997</v>
      </c>
      <c r="L270" s="5"/>
      <c r="M270" s="6">
        <v>0.85858213999999999</v>
      </c>
      <c r="N270" s="2"/>
      <c r="O270" s="2">
        <f>59.938507</f>
        <v>59.938507000000001</v>
      </c>
      <c r="P270" s="2">
        <f>73.87869</f>
        <v>73.878690000000006</v>
      </c>
    </row>
    <row r="271" spans="1:16" ht="17">
      <c r="A271" s="1" t="str">
        <f t="shared" si="12"/>
        <v>2020/05/16</v>
      </c>
      <c r="B271" s="1" t="str">
        <f>"03:00"</f>
        <v>03:00</v>
      </c>
      <c r="C271" s="2"/>
      <c r="D271" s="2">
        <f>1.0374064</f>
        <v>1.0374064000000001</v>
      </c>
      <c r="E271" s="2">
        <f>0.8906038</f>
        <v>0.89060379999999995</v>
      </c>
      <c r="F271" s="2"/>
      <c r="G271" s="2">
        <f>0.74504244</f>
        <v>0.74504243999999997</v>
      </c>
      <c r="H271" s="2"/>
      <c r="I271" s="2">
        <f>8.132632</f>
        <v>8.1326319999999992</v>
      </c>
      <c r="J271" s="2"/>
      <c r="K271" s="2">
        <f>9.274924</f>
        <v>9.2749240000000004</v>
      </c>
      <c r="L271" s="5"/>
      <c r="M271" s="6">
        <v>0.81649879999999997</v>
      </c>
      <c r="N271" s="2"/>
      <c r="O271" s="2">
        <f>59.42191</f>
        <v>59.421909999999997</v>
      </c>
      <c r="P271" s="2">
        <f>77.12399</f>
        <v>77.123990000000006</v>
      </c>
    </row>
    <row r="272" spans="1:16" ht="17">
      <c r="A272" s="1" t="str">
        <f t="shared" si="12"/>
        <v>2020/05/16</v>
      </c>
      <c r="B272" s="1" t="str">
        <f>"04:00"</f>
        <v>04:00</v>
      </c>
      <c r="C272" s="2"/>
      <c r="D272" s="2">
        <f>1.0147784</f>
        <v>1.0147784</v>
      </c>
      <c r="E272" s="2">
        <f>0.9152085</f>
        <v>0.91520849999999998</v>
      </c>
      <c r="F272" s="2"/>
      <c r="G272" s="2">
        <f>1.5851567</f>
        <v>1.5851567</v>
      </c>
      <c r="H272" s="2"/>
      <c r="I272" s="2">
        <f>9.229976</f>
        <v>9.2299760000000006</v>
      </c>
      <c r="J272" s="2"/>
      <c r="K272" s="2">
        <f>11.5585575</f>
        <v>11.558557499999999</v>
      </c>
      <c r="L272" s="5"/>
      <c r="M272" s="6">
        <v>0.78668475000000004</v>
      </c>
      <c r="N272" s="2"/>
      <c r="O272" s="2">
        <f>59.299915</f>
        <v>59.299914999999999</v>
      </c>
      <c r="P272" s="2">
        <f>69.64303</f>
        <v>69.643029999999996</v>
      </c>
    </row>
    <row r="273" spans="1:16" ht="17">
      <c r="A273" s="1" t="str">
        <f t="shared" si="12"/>
        <v>2020/05/16</v>
      </c>
      <c r="B273" s="1" t="str">
        <f>"05:00"</f>
        <v>05:00</v>
      </c>
      <c r="C273" s="2"/>
      <c r="D273" s="2">
        <f>0.98031795</f>
        <v>0.98031794999999999</v>
      </c>
      <c r="E273" s="2">
        <f>0.9415995</f>
        <v>0.94159950000000003</v>
      </c>
      <c r="F273" s="2"/>
      <c r="G273" s="2">
        <f>1.9967461</f>
        <v>1.9967461</v>
      </c>
      <c r="H273" s="2"/>
      <c r="I273" s="2">
        <f>15.752814</f>
        <v>15.752814000000001</v>
      </c>
      <c r="J273" s="2"/>
      <c r="K273" s="2">
        <f>18.811306</f>
        <v>18.811305999999998</v>
      </c>
      <c r="L273" s="5"/>
      <c r="M273" s="6">
        <v>0.88443830000000001</v>
      </c>
      <c r="N273" s="2"/>
      <c r="O273" s="2">
        <f>60.20204</f>
        <v>60.202039999999997</v>
      </c>
      <c r="P273" s="2">
        <f>62.8008</f>
        <v>62.800800000000002</v>
      </c>
    </row>
    <row r="274" spans="1:16" ht="17">
      <c r="A274" s="1" t="str">
        <f t="shared" si="12"/>
        <v>2020/05/16</v>
      </c>
      <c r="B274" s="1" t="str">
        <f>"06:00"</f>
        <v>06:00</v>
      </c>
      <c r="C274" s="2"/>
      <c r="D274" s="2">
        <f>0.948039</f>
        <v>0.94803899999999997</v>
      </c>
      <c r="E274" s="2">
        <f>0.91643405</f>
        <v>0.91643405</v>
      </c>
      <c r="F274" s="2"/>
      <c r="G274" s="2">
        <f>1.6828877</f>
        <v>1.6828877</v>
      </c>
      <c r="H274" s="2"/>
      <c r="I274" s="2">
        <f>16.63027</f>
        <v>16.630269999999999</v>
      </c>
      <c r="J274" s="2"/>
      <c r="K274" s="2">
        <f>19.22973</f>
        <v>19.22973</v>
      </c>
      <c r="L274" s="5"/>
      <c r="M274" s="6">
        <v>0.95020389999999999</v>
      </c>
      <c r="N274" s="2"/>
      <c r="O274" s="2">
        <f>61.6778</f>
        <v>61.677799999999998</v>
      </c>
      <c r="P274" s="2">
        <f>61.64377</f>
        <v>61.643770000000004</v>
      </c>
    </row>
    <row r="275" spans="1:16" ht="17">
      <c r="A275" s="1" t="str">
        <f t="shared" si="12"/>
        <v>2020/05/16</v>
      </c>
      <c r="B275" s="1" t="str">
        <f>"07:00"</f>
        <v>07:00</v>
      </c>
      <c r="C275" s="2"/>
      <c r="D275" s="2">
        <f>0.94288546</f>
        <v>0.94288545999999995</v>
      </c>
      <c r="E275" s="2">
        <f>1.0470569</f>
        <v>1.0470569000000001</v>
      </c>
      <c r="F275" s="2"/>
      <c r="G275" s="2">
        <f>8.426639</f>
        <v>8.4266389999999998</v>
      </c>
      <c r="H275" s="2"/>
      <c r="I275" s="2">
        <f>35.101166</f>
        <v>35.101165999999999</v>
      </c>
      <c r="J275" s="2"/>
      <c r="K275" s="2">
        <f>48.034927</f>
        <v>48.034927000000003</v>
      </c>
      <c r="L275" s="5"/>
      <c r="M275" s="6">
        <v>1.0354352</v>
      </c>
      <c r="N275" s="2"/>
      <c r="O275" s="2">
        <f>61.798347</f>
        <v>61.798347</v>
      </c>
      <c r="P275" s="2">
        <f>42.42423</f>
        <v>42.424230000000001</v>
      </c>
    </row>
    <row r="276" spans="1:16" ht="17">
      <c r="A276" s="1" t="str">
        <f t="shared" si="12"/>
        <v>2020/05/16</v>
      </c>
      <c r="B276" s="1" t="str">
        <f>"08:00"</f>
        <v>08:00</v>
      </c>
      <c r="C276" s="2"/>
      <c r="D276" s="2">
        <f>0.9534326</f>
        <v>0.95343259999999996</v>
      </c>
      <c r="E276" s="2">
        <f>1.1079046</f>
        <v>1.1079045999999999</v>
      </c>
      <c r="F276" s="2"/>
      <c r="G276" s="2">
        <f>6.216021</f>
        <v>6.2160209999999996</v>
      </c>
      <c r="H276" s="2"/>
      <c r="I276" s="2">
        <f>32.747692</f>
        <v>32.747692000000001</v>
      </c>
      <c r="J276" s="2"/>
      <c r="K276" s="2">
        <f>42.278954</f>
        <v>42.278953999999999</v>
      </c>
      <c r="L276" s="5"/>
      <c r="M276" s="6">
        <v>1.0568302000000001</v>
      </c>
      <c r="N276" s="2"/>
      <c r="O276" s="2">
        <f>61.984634</f>
        <v>61.984634</v>
      </c>
      <c r="P276" s="2">
        <f>45.999866</f>
        <v>45.999865999999997</v>
      </c>
    </row>
    <row r="277" spans="1:16" ht="17">
      <c r="A277" s="1" t="str">
        <f t="shared" si="12"/>
        <v>2020/05/16</v>
      </c>
      <c r="B277" s="1" t="str">
        <f>"09:00"</f>
        <v>09:00</v>
      </c>
      <c r="C277" s="2"/>
      <c r="D277" s="2">
        <f>0.9863078</f>
        <v>0.98630779999999996</v>
      </c>
      <c r="E277" s="2">
        <f>1.1858866</f>
        <v>1.1858865999999999</v>
      </c>
      <c r="F277" s="2"/>
      <c r="G277" s="2">
        <f>8.807867</f>
        <v>8.8078669999999999</v>
      </c>
      <c r="H277" s="2"/>
      <c r="I277" s="2">
        <f>30.251701</f>
        <v>30.251701000000001</v>
      </c>
      <c r="J277" s="2"/>
      <c r="K277" s="2">
        <f>43.748524</f>
        <v>43.748524000000003</v>
      </c>
      <c r="L277" s="5"/>
      <c r="M277" s="6">
        <v>1.0947247</v>
      </c>
      <c r="N277" s="2"/>
      <c r="O277" s="2">
        <f>61.20746</f>
        <v>61.207459999999998</v>
      </c>
      <c r="P277" s="2">
        <f>56.145275</f>
        <v>56.145274999999998</v>
      </c>
    </row>
    <row r="278" spans="1:16" ht="17">
      <c r="A278" s="1" t="str">
        <f t="shared" si="12"/>
        <v>2020/05/16</v>
      </c>
      <c r="B278" s="1" t="str">
        <f>"10:00"</f>
        <v>10:00</v>
      </c>
      <c r="C278" s="2"/>
      <c r="D278" s="2">
        <f>1.0071163</f>
        <v>1.0071163000000001</v>
      </c>
      <c r="E278" s="2">
        <f>1.0522369</f>
        <v>1.0522369</v>
      </c>
      <c r="F278" s="2"/>
      <c r="G278" s="2">
        <f>7.147426</f>
        <v>7.1474260000000003</v>
      </c>
      <c r="H278" s="2"/>
      <c r="I278" s="2">
        <f>19.65097</f>
        <v>19.650970000000001</v>
      </c>
      <c r="J278" s="2"/>
      <c r="K278" s="2">
        <f>30.597706</f>
        <v>30.597705999999999</v>
      </c>
      <c r="L278" s="5"/>
      <c r="M278" s="6">
        <v>1.1322964</v>
      </c>
      <c r="N278" s="2"/>
      <c r="O278" s="2">
        <f>61.905235</f>
        <v>61.905234999999998</v>
      </c>
      <c r="P278" s="2">
        <f>79.46092</f>
        <v>79.460920000000002</v>
      </c>
    </row>
    <row r="279" spans="1:16" ht="17">
      <c r="A279" s="1" t="str">
        <f t="shared" si="12"/>
        <v>2020/05/16</v>
      </c>
      <c r="B279" s="1" t="str">
        <f>"11:00"</f>
        <v>11:00</v>
      </c>
      <c r="C279" s="2"/>
      <c r="D279" s="2">
        <f>1.0251471</f>
        <v>1.0251471000000001</v>
      </c>
      <c r="E279" s="2">
        <f>1.0348493</f>
        <v>1.0348493000000001</v>
      </c>
      <c r="F279" s="2"/>
      <c r="G279" s="2">
        <f>6.173359</f>
        <v>6.1733589999999996</v>
      </c>
      <c r="H279" s="2"/>
      <c r="I279" s="2">
        <f>16.345747</f>
        <v>16.345746999999999</v>
      </c>
      <c r="J279" s="2"/>
      <c r="K279" s="2">
        <f>25.667234</f>
        <v>25.667234000000001</v>
      </c>
      <c r="L279" s="5"/>
      <c r="M279" s="6">
        <v>0.98802643999999995</v>
      </c>
      <c r="N279" s="2"/>
      <c r="O279" s="2">
        <f>63.14139</f>
        <v>63.141390000000001</v>
      </c>
      <c r="P279" s="2">
        <f>87.01325</f>
        <v>87.013249999999999</v>
      </c>
    </row>
    <row r="280" spans="1:16" ht="17">
      <c r="A280" s="1" t="str">
        <f t="shared" si="12"/>
        <v>2020/05/16</v>
      </c>
      <c r="B280" s="1" t="str">
        <f>"12:00"</f>
        <v>12:00</v>
      </c>
      <c r="C280" s="2"/>
      <c r="D280" s="2">
        <f>1.0392317</f>
        <v>1.0392317</v>
      </c>
      <c r="E280" s="2">
        <f>1.0278858</f>
        <v>1.0278858</v>
      </c>
      <c r="F280" s="2"/>
      <c r="G280" s="2">
        <f>4.6514826</f>
        <v>4.6514825999999996</v>
      </c>
      <c r="H280" s="2"/>
      <c r="I280" s="2">
        <f>12.755366</f>
        <v>12.755366</v>
      </c>
      <c r="J280" s="2"/>
      <c r="K280" s="2">
        <f>19.88725</f>
        <v>19.887250000000002</v>
      </c>
      <c r="L280" s="5"/>
      <c r="M280" s="6">
        <v>0.86133519999999997</v>
      </c>
      <c r="N280" s="2"/>
      <c r="O280" s="2">
        <f>65.8862</f>
        <v>65.886200000000002</v>
      </c>
      <c r="P280" s="2">
        <f>91.60149</f>
        <v>91.601489999999998</v>
      </c>
    </row>
    <row r="281" spans="1:16" ht="17">
      <c r="A281" s="1" t="str">
        <f t="shared" si="12"/>
        <v>2020/05/16</v>
      </c>
      <c r="B281" s="1" t="str">
        <f>"13:00"</f>
        <v>13:00</v>
      </c>
      <c r="C281" s="2"/>
      <c r="D281" s="2">
        <f>1.044534</f>
        <v>1.0445340000000001</v>
      </c>
      <c r="E281" s="2">
        <f>0.98401725</f>
        <v>0.98401724999999995</v>
      </c>
      <c r="F281" s="2"/>
      <c r="G281" s="2">
        <f>3.645481</f>
        <v>3.6454810000000002</v>
      </c>
      <c r="H281" s="2"/>
      <c r="I281" s="2">
        <f>6.849677</f>
        <v>6.8496769999999998</v>
      </c>
      <c r="J281" s="2"/>
      <c r="K281" s="2">
        <f>12.342937</f>
        <v>12.342936999999999</v>
      </c>
      <c r="L281" s="5"/>
      <c r="M281" s="6">
        <v>0.83470504999999995</v>
      </c>
      <c r="N281" s="2"/>
      <c r="O281" s="2">
        <f>69.98131</f>
        <v>69.981309999999993</v>
      </c>
      <c r="P281" s="2">
        <f>95.561646</f>
        <v>95.561645999999996</v>
      </c>
    </row>
    <row r="282" spans="1:16" ht="17">
      <c r="A282" s="1" t="str">
        <f t="shared" si="12"/>
        <v>2020/05/16</v>
      </c>
      <c r="B282" s="1" t="str">
        <f>"14:00"</f>
        <v>14:00</v>
      </c>
      <c r="C282" s="2"/>
      <c r="D282" s="2">
        <f>1.0495125</f>
        <v>1.0495125000000001</v>
      </c>
      <c r="E282" s="2">
        <f>0.956263</f>
        <v>0.95626299999999997</v>
      </c>
      <c r="F282" s="2"/>
      <c r="G282" s="2">
        <f>1.9701827</f>
        <v>1.9701827000000001</v>
      </c>
      <c r="H282" s="2"/>
      <c r="I282" s="2">
        <f>6.2909594</f>
        <v>6.2909594000000002</v>
      </c>
      <c r="J282" s="2"/>
      <c r="K282" s="2">
        <f>9.181834</f>
        <v>9.1818340000000003</v>
      </c>
      <c r="L282" s="5"/>
      <c r="M282" s="6">
        <v>0.82115585000000002</v>
      </c>
      <c r="N282" s="2"/>
      <c r="O282" s="2">
        <f>75.30749</f>
        <v>75.307490000000001</v>
      </c>
      <c r="P282" s="2">
        <f>104.2532</f>
        <v>104.25320000000001</v>
      </c>
    </row>
    <row r="283" spans="1:16" ht="17">
      <c r="A283" s="1" t="str">
        <f t="shared" si="12"/>
        <v>2020/05/16</v>
      </c>
      <c r="B283" s="1" t="str">
        <f>"15:00"</f>
        <v>15:00</v>
      </c>
      <c r="C283" s="2"/>
      <c r="D283" s="2">
        <f>1.0351893</f>
        <v>1.0351893000000001</v>
      </c>
      <c r="E283" s="2">
        <f>0.9324704</f>
        <v>0.93247040000000003</v>
      </c>
      <c r="F283" s="2"/>
      <c r="G283" s="2">
        <f>1.5823181</f>
        <v>1.5823180999999999</v>
      </c>
      <c r="H283" s="2"/>
      <c r="I283" s="2">
        <f>4.801664</f>
        <v>4.8016639999999997</v>
      </c>
      <c r="J283" s="2"/>
      <c r="K283" s="2">
        <f>7.2085285</f>
        <v>7.2085284999999999</v>
      </c>
      <c r="L283" s="5"/>
      <c r="M283" s="6">
        <v>0.82657707000000002</v>
      </c>
      <c r="N283" s="2"/>
      <c r="O283" s="2">
        <f>83.709785</f>
        <v>83.709784999999997</v>
      </c>
      <c r="P283" s="2">
        <f>109.642654</f>
        <v>109.64265399999999</v>
      </c>
    </row>
    <row r="284" spans="1:16" ht="17">
      <c r="A284" s="1" t="str">
        <f t="shared" si="12"/>
        <v>2020/05/16</v>
      </c>
      <c r="B284" s="1" t="str">
        <f>"16:00"</f>
        <v>16:00</v>
      </c>
      <c r="C284" s="2"/>
      <c r="D284" s="2">
        <f>1.0137962</f>
        <v>1.0137962</v>
      </c>
      <c r="E284" s="2">
        <f>0.9367606</f>
        <v>0.93676060000000005</v>
      </c>
      <c r="F284" s="2"/>
      <c r="G284" s="2">
        <f>1.4776955</f>
        <v>1.4776955000000001</v>
      </c>
      <c r="H284" s="2"/>
      <c r="I284" s="2">
        <f>4.5345583</f>
        <v>4.5345582999999996</v>
      </c>
      <c r="J284" s="2"/>
      <c r="K284" s="2">
        <f>6.733724</f>
        <v>6.7337239999999996</v>
      </c>
      <c r="L284" s="5"/>
      <c r="M284" s="6">
        <v>0.89448070000000002</v>
      </c>
      <c r="N284" s="2"/>
      <c r="O284" s="2">
        <f>91.45527</f>
        <v>91.455269999999999</v>
      </c>
      <c r="P284" s="2">
        <f>107.96371</f>
        <v>107.96371000000001</v>
      </c>
    </row>
    <row r="285" spans="1:16" ht="17">
      <c r="A285" s="1" t="str">
        <f t="shared" si="12"/>
        <v>2020/05/16</v>
      </c>
      <c r="B285" s="1" t="str">
        <f>"17:00"</f>
        <v>17:00</v>
      </c>
      <c r="C285" s="2"/>
      <c r="D285" s="2">
        <f>0.9852607</f>
        <v>0.98526069999999999</v>
      </c>
      <c r="E285" s="2">
        <f>0.9576025</f>
        <v>0.95760250000000002</v>
      </c>
      <c r="F285" s="2"/>
      <c r="G285" s="2">
        <f>1.7648196</f>
        <v>1.7648196</v>
      </c>
      <c r="H285" s="2"/>
      <c r="I285" s="2">
        <f>3.975182</f>
        <v>3.9751820000000002</v>
      </c>
      <c r="J285" s="2"/>
      <c r="K285" s="2">
        <f>6.5535245</f>
        <v>6.5535245</v>
      </c>
      <c r="L285" s="5"/>
      <c r="M285" s="6">
        <v>0.66076190000000001</v>
      </c>
      <c r="N285" s="2"/>
      <c r="O285" s="2">
        <f>97.84906</f>
        <v>97.849059999999994</v>
      </c>
      <c r="P285" s="2">
        <f>107.2956</f>
        <v>107.29559999999999</v>
      </c>
    </row>
    <row r="286" spans="1:16" ht="17">
      <c r="A286" s="1" t="str">
        <f t="shared" si="12"/>
        <v>2020/05/16</v>
      </c>
      <c r="B286" s="1" t="str">
        <f>"18:00"</f>
        <v>18:00</v>
      </c>
      <c r="C286" s="2"/>
      <c r="D286" s="2">
        <f>0.9745942</f>
        <v>0.97459419999999997</v>
      </c>
      <c r="E286" s="2">
        <f>0.96690464</f>
        <v>0.96690463999999998</v>
      </c>
      <c r="F286" s="2"/>
      <c r="G286" s="2">
        <f>1.2254629</f>
        <v>1.2254628999999999</v>
      </c>
      <c r="H286" s="2"/>
      <c r="I286" s="2">
        <f>3.8678682</f>
        <v>3.8678682000000002</v>
      </c>
      <c r="J286" s="2"/>
      <c r="K286" s="2">
        <f>5.744766</f>
        <v>5.7447660000000003</v>
      </c>
      <c r="L286" s="5"/>
      <c r="M286" s="6">
        <v>0.84764474999999995</v>
      </c>
      <c r="N286" s="2"/>
      <c r="O286" s="2">
        <f>101.270805</f>
        <v>101.270805</v>
      </c>
      <c r="P286" s="2">
        <f>106.83491</f>
        <v>106.83490999999999</v>
      </c>
    </row>
    <row r="287" spans="1:16" ht="17">
      <c r="A287" s="1" t="str">
        <f t="shared" si="12"/>
        <v>2020/05/16</v>
      </c>
      <c r="B287" s="1" t="str">
        <f>"19:00"</f>
        <v>19:00</v>
      </c>
      <c r="C287" s="2"/>
      <c r="D287" s="2">
        <f>0.9714823</f>
        <v>0.97148230000000002</v>
      </c>
      <c r="E287" s="2">
        <f>1.0099542</f>
        <v>1.0099541999999999</v>
      </c>
      <c r="F287" s="2"/>
      <c r="G287" s="2">
        <f>2.1601303</f>
        <v>2.1601303000000001</v>
      </c>
      <c r="H287" s="2"/>
      <c r="I287" s="2">
        <f>8.939067</f>
        <v>8.9390669999999997</v>
      </c>
      <c r="J287" s="2"/>
      <c r="K287" s="2">
        <f>12.251305</f>
        <v>12.251305</v>
      </c>
      <c r="L287" s="5"/>
      <c r="M287" s="6">
        <v>0.76828430000000003</v>
      </c>
      <c r="N287" s="2"/>
      <c r="O287" s="2">
        <f>102.42495</f>
        <v>102.42495</v>
      </c>
      <c r="P287" s="2">
        <f>96.246414</f>
        <v>96.246414000000001</v>
      </c>
    </row>
    <row r="288" spans="1:16" ht="17">
      <c r="A288" s="1" t="str">
        <f t="shared" si="12"/>
        <v>2020/05/16</v>
      </c>
      <c r="B288" s="1" t="str">
        <f>"20:00"</f>
        <v>20:00</v>
      </c>
      <c r="C288" s="2"/>
      <c r="D288" s="2">
        <f>0.976548</f>
        <v>0.97654799999999997</v>
      </c>
      <c r="E288" s="2">
        <f>1.0684115</f>
        <v>1.0684115000000001</v>
      </c>
      <c r="F288" s="2"/>
      <c r="G288" s="2">
        <f>3.4824736</f>
        <v>3.4824736000000001</v>
      </c>
      <c r="H288" s="2"/>
      <c r="I288" s="2">
        <f>16.675926</f>
        <v>16.675926</v>
      </c>
      <c r="J288" s="2"/>
      <c r="K288" s="2">
        <f>22.003983</f>
        <v>22.003983000000002</v>
      </c>
      <c r="L288" s="5"/>
      <c r="M288" s="6">
        <v>0.88821775000000003</v>
      </c>
      <c r="N288" s="2"/>
      <c r="O288" s="2">
        <f>102.0705</f>
        <v>102.0705</v>
      </c>
      <c r="P288" s="2">
        <f>88.7659</f>
        <v>88.765900000000002</v>
      </c>
    </row>
    <row r="289" spans="1:16" ht="17">
      <c r="A289" s="1" t="str">
        <f t="shared" si="12"/>
        <v>2020/05/16</v>
      </c>
      <c r="B289" s="1" t="str">
        <f>"21:00"</f>
        <v>21:00</v>
      </c>
      <c r="C289" s="2"/>
      <c r="D289" s="2">
        <f>0.9781604</f>
        <v>0.97816040000000004</v>
      </c>
      <c r="E289" s="2">
        <f>0.9969163</f>
        <v>0.99691629999999998</v>
      </c>
      <c r="F289" s="2"/>
      <c r="G289" s="2">
        <f>3.0171618</f>
        <v>3.0171617999999998</v>
      </c>
      <c r="H289" s="2"/>
      <c r="I289" s="2">
        <f>17.878048</f>
        <v>17.878048</v>
      </c>
      <c r="J289" s="2"/>
      <c r="K289" s="2">
        <f>22.504326</f>
        <v>22.504325999999999</v>
      </c>
      <c r="L289" s="5"/>
      <c r="M289" s="6">
        <v>0.89681535999999995</v>
      </c>
      <c r="N289" s="2"/>
      <c r="O289" s="2">
        <f>100.90766</f>
        <v>100.90766000000001</v>
      </c>
      <c r="P289" s="2">
        <f>86.258934</f>
        <v>86.258933999999996</v>
      </c>
    </row>
    <row r="290" spans="1:16" ht="17">
      <c r="A290" s="1" t="str">
        <f t="shared" si="12"/>
        <v>2020/05/16</v>
      </c>
      <c r="B290" s="1" t="str">
        <f>"22:00"</f>
        <v>22:00</v>
      </c>
      <c r="C290" s="2"/>
      <c r="D290" s="2">
        <f>0.98807174</f>
        <v>0.98807173999999998</v>
      </c>
      <c r="E290" s="2">
        <f>1.0355538</f>
        <v>1.0355538</v>
      </c>
      <c r="F290" s="2"/>
      <c r="G290" s="2">
        <f>1.5060416</f>
        <v>1.5060416000000001</v>
      </c>
      <c r="H290" s="2"/>
      <c r="I290" s="2">
        <f>23.350739</f>
        <v>23.350739000000001</v>
      </c>
      <c r="J290" s="2"/>
      <c r="K290" s="2">
        <f>25.660236</f>
        <v>25.660236000000001</v>
      </c>
      <c r="L290" s="5"/>
      <c r="M290" s="6">
        <v>0.89439343999999998</v>
      </c>
      <c r="N290" s="2"/>
      <c r="O290" s="2">
        <f>97.824005</f>
        <v>97.824005</v>
      </c>
      <c r="P290" s="2">
        <f>79.58393</f>
        <v>79.583929999999995</v>
      </c>
    </row>
    <row r="291" spans="1:16" ht="17">
      <c r="A291" s="1" t="str">
        <f t="shared" si="12"/>
        <v>2020/05/16</v>
      </c>
      <c r="B291" s="1" t="str">
        <f>"23:00"</f>
        <v>23:00</v>
      </c>
      <c r="C291" s="2"/>
      <c r="D291" s="2">
        <f>1.0109535</f>
        <v>1.0109535000000001</v>
      </c>
      <c r="E291" s="2">
        <f>1.115525</f>
        <v>1.1155250000000001</v>
      </c>
      <c r="F291" s="2"/>
      <c r="G291" s="2">
        <f>1.5862808</f>
        <v>1.5862807999999999</v>
      </c>
      <c r="H291" s="2"/>
      <c r="I291" s="2">
        <f>21.157522</f>
        <v>21.157522</v>
      </c>
      <c r="J291" s="2"/>
      <c r="K291" s="2">
        <f>23.590126</f>
        <v>23.590126000000001</v>
      </c>
      <c r="L291" s="5"/>
      <c r="M291" s="6">
        <v>0.86431530000000001</v>
      </c>
      <c r="N291" s="2"/>
      <c r="O291" s="2">
        <f>92.15265</f>
        <v>92.152649999999994</v>
      </c>
      <c r="P291" s="2">
        <f>64.271805</f>
        <v>64.271805000000001</v>
      </c>
    </row>
    <row r="292" spans="1:16" ht="17">
      <c r="A292" s="1" t="str">
        <f t="shared" si="12"/>
        <v>2020/05/16</v>
      </c>
      <c r="B292" s="1" t="str">
        <f>"24:00"</f>
        <v>24:00</v>
      </c>
      <c r="C292" s="2"/>
      <c r="D292" s="2">
        <f>1.0292786</f>
        <v>1.0292786</v>
      </c>
      <c r="E292" s="2">
        <f>1.0833614</f>
        <v>1.0833614</v>
      </c>
      <c r="F292" s="2"/>
      <c r="G292" s="2">
        <f>2.1293705</f>
        <v>2.1293704999999998</v>
      </c>
      <c r="H292" s="2"/>
      <c r="I292" s="2">
        <f>25.748356</f>
        <v>25.748356000000001</v>
      </c>
      <c r="J292" s="2"/>
      <c r="K292" s="2">
        <f>29.013588</f>
        <v>29.013587999999999</v>
      </c>
      <c r="L292" s="5"/>
      <c r="M292" s="6">
        <v>1.0055821</v>
      </c>
      <c r="N292" s="2"/>
      <c r="O292" s="2">
        <f>82.81482</f>
        <v>82.814819999999997</v>
      </c>
      <c r="P292" s="2">
        <f>33.26105</f>
        <v>33.261049999999997</v>
      </c>
    </row>
    <row r="293" spans="1:16" ht="17">
      <c r="A293" s="1" t="str">
        <f t="shared" ref="A293:A316" si="13">"2020/05/17"</f>
        <v>2020/05/17</v>
      </c>
      <c r="B293" s="1" t="str">
        <f>"01:00"</f>
        <v>01:00</v>
      </c>
      <c r="C293" s="2">
        <f>1.0185591</f>
        <v>1.0185591000000001</v>
      </c>
      <c r="D293" s="2">
        <f>1.0319947</f>
        <v>1.0319947</v>
      </c>
      <c r="E293" s="2">
        <f>0.9793308</f>
        <v>0.97933079999999995</v>
      </c>
      <c r="F293" s="2">
        <f>3.3417583</f>
        <v>3.3417583</v>
      </c>
      <c r="G293" s="2">
        <f>2.2170556</f>
        <v>2.2170556000000001</v>
      </c>
      <c r="H293" s="2">
        <f>15.748008</f>
        <v>15.748008</v>
      </c>
      <c r="I293" s="2">
        <f>15.330721</f>
        <v>15.330721</v>
      </c>
      <c r="J293" s="2">
        <f>20.696684</f>
        <v>20.696684000000001</v>
      </c>
      <c r="K293" s="2">
        <f>18.700037</f>
        <v>18.700036999999998</v>
      </c>
      <c r="L293" s="5">
        <v>0.78017049999999999</v>
      </c>
      <c r="M293" s="6">
        <v>0.81497889999999995</v>
      </c>
      <c r="N293" s="2">
        <f>71.84966</f>
        <v>71.84966</v>
      </c>
      <c r="O293" s="2">
        <f>76.38529</f>
        <v>76.385289999999998</v>
      </c>
      <c r="P293" s="2">
        <f>55.859367</f>
        <v>55.859366999999999</v>
      </c>
    </row>
    <row r="294" spans="1:16" ht="17">
      <c r="A294" s="1" t="str">
        <f t="shared" si="13"/>
        <v>2020/05/17</v>
      </c>
      <c r="B294" s="1" t="str">
        <f>"02:00"</f>
        <v>02:00</v>
      </c>
      <c r="C294" s="2"/>
      <c r="D294" s="2">
        <f>1.030978</f>
        <v>1.030978</v>
      </c>
      <c r="E294" s="2">
        <f>0.9587704</f>
        <v>0.95877040000000002</v>
      </c>
      <c r="F294" s="2"/>
      <c r="G294" s="2">
        <f>1.7665094</f>
        <v>1.7665093999999999</v>
      </c>
      <c r="H294" s="2"/>
      <c r="I294" s="2">
        <f>11.045066</f>
        <v>11.045066</v>
      </c>
      <c r="J294" s="2"/>
      <c r="K294" s="2">
        <f>13.474289</f>
        <v>13.474289000000001</v>
      </c>
      <c r="L294" s="5"/>
      <c r="M294" s="6">
        <v>0.74705403999999997</v>
      </c>
      <c r="N294" s="2"/>
      <c r="O294" s="2">
        <f>70.586395</f>
        <v>70.586394999999996</v>
      </c>
      <c r="P294" s="2">
        <f>60.44373</f>
        <v>60.443730000000002</v>
      </c>
    </row>
    <row r="295" spans="1:16" ht="17">
      <c r="A295" s="1" t="str">
        <f t="shared" si="13"/>
        <v>2020/05/17</v>
      </c>
      <c r="B295" s="1" t="str">
        <f>"03:00"</f>
        <v>03:00</v>
      </c>
      <c r="C295" s="2"/>
      <c r="D295" s="2">
        <f>1.0197488</f>
        <v>1.0197487999999999</v>
      </c>
      <c r="E295" s="2">
        <f>0.92012113</f>
        <v>0.92012112999999995</v>
      </c>
      <c r="F295" s="2"/>
      <c r="G295" s="2">
        <f>0.7393259</f>
        <v>0.73932589999999998</v>
      </c>
      <c r="H295" s="2"/>
      <c r="I295" s="2">
        <f>8.061204</f>
        <v>8.061204</v>
      </c>
      <c r="J295" s="2"/>
      <c r="K295" s="2">
        <f>9.194927</f>
        <v>9.1949269999999999</v>
      </c>
      <c r="L295" s="5"/>
      <c r="M295" s="6">
        <v>0.78249866000000001</v>
      </c>
      <c r="N295" s="2"/>
      <c r="O295" s="2">
        <f>66.70004</f>
        <v>66.700040000000001</v>
      </c>
      <c r="P295" s="2">
        <f>65.15561</f>
        <v>65.155609999999996</v>
      </c>
    </row>
    <row r="296" spans="1:16" ht="17">
      <c r="A296" s="1" t="str">
        <f t="shared" si="13"/>
        <v>2020/05/17</v>
      </c>
      <c r="B296" s="1" t="str">
        <f>"04:00"</f>
        <v>04:00</v>
      </c>
      <c r="C296" s="2"/>
      <c r="D296" s="2">
        <f>0.99888057</f>
        <v>0.99888056999999997</v>
      </c>
      <c r="E296" s="2">
        <f>0.90146583</f>
        <v>0.90146583000000002</v>
      </c>
      <c r="F296" s="2"/>
      <c r="G296" s="2">
        <f>1.0473382</f>
        <v>1.0473382</v>
      </c>
      <c r="H296" s="2"/>
      <c r="I296" s="2">
        <f>7.745101</f>
        <v>7.745101</v>
      </c>
      <c r="J296" s="2"/>
      <c r="K296" s="2">
        <f>9.275203</f>
        <v>9.2752029999999994</v>
      </c>
      <c r="L296" s="5"/>
      <c r="M296" s="6">
        <v>0.80161420000000005</v>
      </c>
      <c r="N296" s="2"/>
      <c r="O296" s="2">
        <f>63.702305</f>
        <v>63.702305000000003</v>
      </c>
      <c r="P296" s="2">
        <f>64.78402</f>
        <v>64.784019999999998</v>
      </c>
    </row>
    <row r="297" spans="1:16" ht="17">
      <c r="A297" s="1" t="str">
        <f t="shared" si="13"/>
        <v>2020/05/17</v>
      </c>
      <c r="B297" s="1" t="str">
        <f>"05:00"</f>
        <v>05:00</v>
      </c>
      <c r="C297" s="2"/>
      <c r="D297" s="2">
        <f>0.9855065</f>
        <v>0.98550649999999995</v>
      </c>
      <c r="E297" s="2">
        <f>0.88992345</f>
        <v>0.88992344999999995</v>
      </c>
      <c r="F297" s="2"/>
      <c r="G297" s="2">
        <f>1.2811216</f>
        <v>1.2811216000000001</v>
      </c>
      <c r="H297" s="2"/>
      <c r="I297" s="2">
        <f>7.1783314</f>
        <v>7.1783314000000003</v>
      </c>
      <c r="J297" s="2"/>
      <c r="K297" s="2">
        <f>8.996183</f>
        <v>8.9961830000000003</v>
      </c>
      <c r="L297" s="5"/>
      <c r="M297" s="6">
        <v>0.65613644999999998</v>
      </c>
      <c r="N297" s="2"/>
      <c r="O297" s="2">
        <f>61.4019</f>
        <v>61.401899999999998</v>
      </c>
      <c r="P297" s="2">
        <f>67.855705</f>
        <v>67.855705</v>
      </c>
    </row>
    <row r="298" spans="1:16" ht="17">
      <c r="A298" s="1" t="str">
        <f t="shared" si="13"/>
        <v>2020/05/17</v>
      </c>
      <c r="B298" s="1" t="str">
        <f>"06:00"</f>
        <v>06:00</v>
      </c>
      <c r="C298" s="2"/>
      <c r="D298" s="2">
        <f>0.97019815</f>
        <v>0.97019814999999998</v>
      </c>
      <c r="E298" s="2">
        <f>0.913087</f>
        <v>0.91308699999999998</v>
      </c>
      <c r="F298" s="2"/>
      <c r="G298" s="2">
        <f>1.5613607</f>
        <v>1.5613607</v>
      </c>
      <c r="H298" s="2"/>
      <c r="I298" s="2">
        <f>9.8914385</f>
        <v>9.8914384999999996</v>
      </c>
      <c r="J298" s="2"/>
      <c r="K298" s="2">
        <f>12.285495</f>
        <v>12.285494999999999</v>
      </c>
      <c r="L298" s="5"/>
      <c r="M298" s="6">
        <v>0.67321180000000003</v>
      </c>
      <c r="N298" s="2"/>
      <c r="O298" s="2">
        <f>59.611137</f>
        <v>59.611136999999999</v>
      </c>
      <c r="P298" s="2">
        <f>65.2578</f>
        <v>65.257800000000003</v>
      </c>
    </row>
    <row r="299" spans="1:16" ht="17">
      <c r="A299" s="1" t="str">
        <f t="shared" si="13"/>
        <v>2020/05/17</v>
      </c>
      <c r="B299" s="1" t="str">
        <f>"07:00"</f>
        <v>07:00</v>
      </c>
      <c r="C299" s="2"/>
      <c r="D299" s="2">
        <f>0.9479146</f>
        <v>0.94791460000000005</v>
      </c>
      <c r="E299" s="2">
        <f>0.9372569</f>
        <v>0.93725689999999995</v>
      </c>
      <c r="F299" s="2"/>
      <c r="G299" s="2">
        <f>1.5824293</f>
        <v>1.5824293</v>
      </c>
      <c r="H299" s="2"/>
      <c r="I299" s="2">
        <f>13.183671</f>
        <v>13.183671</v>
      </c>
      <c r="J299" s="2"/>
      <c r="K299" s="2">
        <f>15.609845</f>
        <v>15.609845</v>
      </c>
      <c r="L299" s="5"/>
      <c r="M299" s="6">
        <v>0.84332377000000003</v>
      </c>
      <c r="N299" s="2"/>
      <c r="O299" s="2">
        <f>59.2981</f>
        <v>59.298099999999998</v>
      </c>
      <c r="P299" s="2">
        <f>61.767517</f>
        <v>61.767516999999998</v>
      </c>
    </row>
    <row r="300" spans="1:16" ht="17">
      <c r="A300" s="1" t="str">
        <f t="shared" si="13"/>
        <v>2020/05/17</v>
      </c>
      <c r="B300" s="1" t="str">
        <f>"08:00"</f>
        <v>08:00</v>
      </c>
      <c r="C300" s="2"/>
      <c r="D300" s="2">
        <f>0.9466792</f>
        <v>0.94667920000000005</v>
      </c>
      <c r="E300" s="2">
        <f>1.0734777</f>
        <v>1.0734777</v>
      </c>
      <c r="F300" s="2"/>
      <c r="G300" s="2">
        <f>2.7891083</f>
        <v>2.7891083000000001</v>
      </c>
      <c r="H300" s="2"/>
      <c r="I300" s="2">
        <f>21.84398</f>
        <v>21.843979999999998</v>
      </c>
      <c r="J300" s="2"/>
      <c r="K300" s="2">
        <f>26.120245</f>
        <v>26.120245000000001</v>
      </c>
      <c r="L300" s="5"/>
      <c r="M300" s="6">
        <v>0.75143760000000004</v>
      </c>
      <c r="N300" s="2"/>
      <c r="O300" s="2">
        <f>62.007393</f>
        <v>62.007393</v>
      </c>
      <c r="P300" s="2">
        <f>54.93541</f>
        <v>54.935409999999997</v>
      </c>
    </row>
    <row r="301" spans="1:16" ht="17">
      <c r="A301" s="1" t="str">
        <f t="shared" si="13"/>
        <v>2020/05/17</v>
      </c>
      <c r="B301" s="1" t="str">
        <f>"09:00"</f>
        <v>09:00</v>
      </c>
      <c r="C301" s="2"/>
      <c r="D301" s="2">
        <f>0.9585488</f>
        <v>0.95854879999999998</v>
      </c>
      <c r="E301" s="2">
        <f>1.074288</f>
        <v>1.0742879999999999</v>
      </c>
      <c r="F301" s="2"/>
      <c r="G301" s="2">
        <f>3.6823747</f>
        <v>3.6823747</v>
      </c>
      <c r="H301" s="2"/>
      <c r="I301" s="2">
        <f>23.500223</f>
        <v>23.500222999999998</v>
      </c>
      <c r="J301" s="2"/>
      <c r="K301" s="2">
        <f>29.146547</f>
        <v>29.146547000000002</v>
      </c>
      <c r="L301" s="5"/>
      <c r="M301" s="6">
        <v>0.93242687000000002</v>
      </c>
      <c r="N301" s="2"/>
      <c r="O301" s="2">
        <f>61.558987</f>
        <v>61.558987000000002</v>
      </c>
      <c r="P301" s="2">
        <f>52.272114</f>
        <v>52.272114000000002</v>
      </c>
    </row>
    <row r="302" spans="1:16" ht="17">
      <c r="A302" s="1" t="str">
        <f t="shared" si="13"/>
        <v>2020/05/17</v>
      </c>
      <c r="B302" s="1" t="str">
        <f>"10:00"</f>
        <v>10:00</v>
      </c>
      <c r="C302" s="2"/>
      <c r="D302" s="2">
        <f>0.9873891</f>
        <v>0.98738910000000002</v>
      </c>
      <c r="E302" s="2">
        <f>1.1894926</f>
        <v>1.1894925999999999</v>
      </c>
      <c r="F302" s="2"/>
      <c r="G302" s="2">
        <f>4.645315</f>
        <v>4.6453150000000001</v>
      </c>
      <c r="H302" s="2"/>
      <c r="I302" s="2">
        <f>21.238197</f>
        <v>21.238197</v>
      </c>
      <c r="J302" s="2"/>
      <c r="K302" s="2">
        <f>28.360413</f>
        <v>28.360413000000001</v>
      </c>
      <c r="L302" s="5"/>
      <c r="M302" s="6">
        <v>0.77845880000000001</v>
      </c>
      <c r="N302" s="2"/>
      <c r="O302" s="2">
        <f>60.902973</f>
        <v>60.902973000000003</v>
      </c>
      <c r="P302" s="2">
        <f>55.19562</f>
        <v>55.195619999999998</v>
      </c>
    </row>
    <row r="303" spans="1:16" ht="17">
      <c r="A303" s="1" t="str">
        <f t="shared" si="13"/>
        <v>2020/05/17</v>
      </c>
      <c r="B303" s="1" t="str">
        <f>"11:00"</f>
        <v>11:00</v>
      </c>
      <c r="C303" s="2"/>
      <c r="D303" s="2">
        <f>1.036623</f>
        <v>1.0366230000000001</v>
      </c>
      <c r="E303" s="2">
        <f>1.313993</f>
        <v>1.313993</v>
      </c>
      <c r="F303" s="2"/>
      <c r="G303" s="2">
        <f>5.4896336</f>
        <v>5.4896336000000003</v>
      </c>
      <c r="H303" s="2"/>
      <c r="I303" s="2">
        <f>22.763943</f>
        <v>22.763943000000001</v>
      </c>
      <c r="J303" s="2"/>
      <c r="K303" s="2">
        <f>31.102804</f>
        <v>31.102803999999999</v>
      </c>
      <c r="L303" s="5"/>
      <c r="M303" s="6">
        <v>0.85387360000000001</v>
      </c>
      <c r="N303" s="2"/>
      <c r="O303" s="2">
        <f>60.2857</f>
        <v>60.285699999999999</v>
      </c>
      <c r="P303" s="2">
        <f>60.217438</f>
        <v>60.217438000000001</v>
      </c>
    </row>
    <row r="304" spans="1:16" ht="17">
      <c r="A304" s="1" t="str">
        <f t="shared" si="13"/>
        <v>2020/05/17</v>
      </c>
      <c r="B304" s="1" t="str">
        <f>"12:00"</f>
        <v>12:00</v>
      </c>
      <c r="C304" s="2"/>
      <c r="D304" s="2">
        <f>1.0778551</f>
        <v>1.0778551000000001</v>
      </c>
      <c r="E304" s="2">
        <f>1.2313223</f>
        <v>1.2313223</v>
      </c>
      <c r="F304" s="2"/>
      <c r="G304" s="2">
        <f>7.297726</f>
        <v>7.2977259999999999</v>
      </c>
      <c r="H304" s="2"/>
      <c r="I304" s="2">
        <f>22.3475</f>
        <v>22.3475</v>
      </c>
      <c r="J304" s="2"/>
      <c r="K304" s="2">
        <f>32.013092</f>
        <v>32.013092</v>
      </c>
      <c r="L304" s="5"/>
      <c r="M304" s="6">
        <v>0.88879996999999999</v>
      </c>
      <c r="N304" s="2"/>
      <c r="O304" s="2">
        <f>61.041813</f>
        <v>61.041812999999998</v>
      </c>
      <c r="P304" s="2">
        <f>70.83291</f>
        <v>70.832909999999998</v>
      </c>
    </row>
    <row r="305" spans="1:16" ht="17">
      <c r="A305" s="1" t="str">
        <f t="shared" si="13"/>
        <v>2020/05/17</v>
      </c>
      <c r="B305" s="1" t="str">
        <f>"13:00"</f>
        <v>13:00</v>
      </c>
      <c r="C305" s="2"/>
      <c r="D305" s="2">
        <f>1.1090847</f>
        <v>1.1090846999999999</v>
      </c>
      <c r="E305" s="2">
        <f>1.1397607</f>
        <v>1.1397607000000001</v>
      </c>
      <c r="F305" s="2"/>
      <c r="G305" s="2">
        <f>6.2964406</f>
        <v>6.2964406000000004</v>
      </c>
      <c r="H305" s="2"/>
      <c r="I305" s="2">
        <f>24.12973</f>
        <v>24.129729999999999</v>
      </c>
      <c r="J305" s="2"/>
      <c r="K305" s="2">
        <f>33.78027</f>
        <v>33.780270000000002</v>
      </c>
      <c r="L305" s="5"/>
      <c r="M305" s="6">
        <v>0.79582019999999998</v>
      </c>
      <c r="N305" s="2"/>
      <c r="O305" s="2">
        <f>62.830086</f>
        <v>62.830086000000001</v>
      </c>
      <c r="P305" s="2">
        <f>82.161865</f>
        <v>82.161865000000006</v>
      </c>
    </row>
    <row r="306" spans="1:16" ht="17">
      <c r="A306" s="1" t="str">
        <f t="shared" si="13"/>
        <v>2020/05/17</v>
      </c>
      <c r="B306" s="1" t="str">
        <f>"14:00"</f>
        <v>14:00</v>
      </c>
      <c r="C306" s="2"/>
      <c r="D306" s="2">
        <f>1.1338588</f>
        <v>1.1338588000000001</v>
      </c>
      <c r="E306" s="2">
        <f>1.111279</f>
        <v>1.1112789999999999</v>
      </c>
      <c r="F306" s="2"/>
      <c r="G306" s="2">
        <f>3.0812116</f>
        <v>3.0812116000000001</v>
      </c>
      <c r="H306" s="2"/>
      <c r="I306" s="2">
        <f>15.663778</f>
        <v>15.663778000000001</v>
      </c>
      <c r="J306" s="2"/>
      <c r="K306" s="2">
        <f>20.388014</f>
        <v>20.388013999999998</v>
      </c>
      <c r="L306" s="5"/>
      <c r="M306" s="6">
        <v>0.86463875000000001</v>
      </c>
      <c r="N306" s="2"/>
      <c r="O306" s="2">
        <f>65.925186</f>
        <v>65.925185999999997</v>
      </c>
      <c r="P306" s="2">
        <f>90.01863</f>
        <v>90.018630000000002</v>
      </c>
    </row>
    <row r="307" spans="1:16" ht="17">
      <c r="A307" s="1" t="str">
        <f t="shared" si="13"/>
        <v>2020/05/17</v>
      </c>
      <c r="B307" s="1" t="str">
        <f>"15:00"</f>
        <v>15:00</v>
      </c>
      <c r="C307" s="2"/>
      <c r="D307" s="2">
        <f>1.1424509</f>
        <v>1.1424509</v>
      </c>
      <c r="E307" s="2">
        <f>1.005994</f>
        <v>1.0059940000000001</v>
      </c>
      <c r="F307" s="2"/>
      <c r="G307" s="2">
        <f>1.4864455</f>
        <v>1.4864455000000001</v>
      </c>
      <c r="H307" s="2"/>
      <c r="I307" s="2">
        <f>10.675506</f>
        <v>10.675506</v>
      </c>
      <c r="J307" s="2"/>
      <c r="K307" s="2">
        <f>12.954883</f>
        <v>12.954883000000001</v>
      </c>
      <c r="L307" s="5"/>
      <c r="M307" s="6">
        <v>0.86189979999999999</v>
      </c>
      <c r="N307" s="2"/>
      <c r="O307" s="2">
        <f>70.337265</f>
        <v>70.337265000000002</v>
      </c>
      <c r="P307" s="2">
        <f>97.06415</f>
        <v>97.064149999999998</v>
      </c>
    </row>
    <row r="308" spans="1:16" ht="17">
      <c r="A308" s="1" t="str">
        <f t="shared" si="13"/>
        <v>2020/05/17</v>
      </c>
      <c r="B308" s="1" t="str">
        <f>"16:00"</f>
        <v>16:00</v>
      </c>
      <c r="C308" s="2"/>
      <c r="D308" s="2">
        <f>1.1313121</f>
        <v>1.1313120999999999</v>
      </c>
      <c r="E308" s="2">
        <f>0.98436743</f>
        <v>0.98436743000000004</v>
      </c>
      <c r="F308" s="2"/>
      <c r="G308" s="2">
        <f>1.7200029</f>
        <v>1.7200028999999999</v>
      </c>
      <c r="H308" s="2"/>
      <c r="I308" s="2">
        <f>8.550858</f>
        <v>8.5508579999999998</v>
      </c>
      <c r="J308" s="2"/>
      <c r="K308" s="2">
        <f>11.188139</f>
        <v>11.188139</v>
      </c>
      <c r="L308" s="5"/>
      <c r="M308" s="6">
        <v>0.69720499999999996</v>
      </c>
      <c r="N308" s="2"/>
      <c r="O308" s="2">
        <f>76.11303</f>
        <v>76.113029999999995</v>
      </c>
      <c r="P308" s="2">
        <f>101.14153</f>
        <v>101.14153</v>
      </c>
    </row>
    <row r="309" spans="1:16" ht="17">
      <c r="A309" s="1" t="str">
        <f t="shared" si="13"/>
        <v>2020/05/17</v>
      </c>
      <c r="B309" s="1" t="str">
        <f>"17:00"</f>
        <v>17:00</v>
      </c>
      <c r="C309" s="2"/>
      <c r="D309" s="2">
        <f>1.1148002</f>
        <v>1.1148001999999999</v>
      </c>
      <c r="E309" s="2">
        <f>0.9421929</f>
        <v>0.9421929</v>
      </c>
      <c r="F309" s="2"/>
      <c r="G309" s="2">
        <f>1.9496194</f>
        <v>1.9496194</v>
      </c>
      <c r="H309" s="2"/>
      <c r="I309" s="2">
        <f>6.2879066</f>
        <v>6.2879066000000003</v>
      </c>
      <c r="J309" s="2"/>
      <c r="K309" s="2">
        <f>8.773303</f>
        <v>8.7733030000000003</v>
      </c>
      <c r="L309" s="5"/>
      <c r="M309" s="6">
        <v>0.75815790000000005</v>
      </c>
      <c r="N309" s="2"/>
      <c r="O309" s="2">
        <f>81.74397</f>
        <v>81.743970000000004</v>
      </c>
      <c r="P309" s="2">
        <f>97.31962</f>
        <v>97.31962</v>
      </c>
    </row>
    <row r="310" spans="1:16" ht="17">
      <c r="A310" s="1" t="str">
        <f t="shared" si="13"/>
        <v>2020/05/17</v>
      </c>
      <c r="B310" s="1" t="str">
        <f>"18:00"</f>
        <v>18:00</v>
      </c>
      <c r="C310" s="2"/>
      <c r="D310" s="2">
        <f>1.0843908</f>
        <v>1.0843908</v>
      </c>
      <c r="E310" s="2">
        <f>0.9462167</f>
        <v>0.94621670000000002</v>
      </c>
      <c r="F310" s="2"/>
      <c r="G310" s="2">
        <f>1.555038</f>
        <v>1.5550379999999999</v>
      </c>
      <c r="H310" s="2"/>
      <c r="I310" s="2">
        <f>6.746656</f>
        <v>6.7466559999999998</v>
      </c>
      <c r="J310" s="2"/>
      <c r="K310" s="2">
        <f>9.130905</f>
        <v>9.1309050000000003</v>
      </c>
      <c r="L310" s="5"/>
      <c r="M310" s="6">
        <v>0.84483299999999995</v>
      </c>
      <c r="N310" s="2"/>
      <c r="O310" s="2">
        <f>86.460175</f>
        <v>86.460175000000007</v>
      </c>
      <c r="P310" s="2">
        <f>92.92524</f>
        <v>92.925240000000002</v>
      </c>
    </row>
    <row r="311" spans="1:16" ht="17">
      <c r="A311" s="1" t="str">
        <f t="shared" si="13"/>
        <v>2020/05/17</v>
      </c>
      <c r="B311" s="1" t="str">
        <f>"19:00"</f>
        <v>19:00</v>
      </c>
      <c r="C311" s="2"/>
      <c r="D311" s="2">
        <f>1.0430768</f>
        <v>1.0430767999999999</v>
      </c>
      <c r="E311" s="2">
        <f>0.98348063</f>
        <v>0.98348062999999997</v>
      </c>
      <c r="F311" s="2"/>
      <c r="G311" s="2">
        <f>2.745363</f>
        <v>2.7453630000000002</v>
      </c>
      <c r="H311" s="2"/>
      <c r="I311" s="2">
        <f>10.876907</f>
        <v>10.876906999999999</v>
      </c>
      <c r="J311" s="2"/>
      <c r="K311" s="2">
        <f>15.086258</f>
        <v>15.086258000000001</v>
      </c>
      <c r="L311" s="5"/>
      <c r="M311" s="6">
        <v>0.73904919999999996</v>
      </c>
      <c r="N311" s="2"/>
      <c r="O311" s="2">
        <f>89.85633</f>
        <v>89.85633</v>
      </c>
      <c r="P311" s="2">
        <f>87.3867</f>
        <v>87.386700000000005</v>
      </c>
    </row>
    <row r="312" spans="1:16" ht="17">
      <c r="A312" s="1" t="str">
        <f t="shared" si="13"/>
        <v>2020/05/17</v>
      </c>
      <c r="B312" s="1" t="str">
        <f>"20:00"</f>
        <v>20:00</v>
      </c>
      <c r="C312" s="2"/>
      <c r="D312" s="2">
        <f>1.0173055</f>
        <v>1.0173055</v>
      </c>
      <c r="E312" s="2">
        <f>1.0251527</f>
        <v>1.0251527</v>
      </c>
      <c r="F312" s="2"/>
      <c r="G312" s="2">
        <f>7.2371063</f>
        <v>7.2371062999999998</v>
      </c>
      <c r="H312" s="2"/>
      <c r="I312" s="2">
        <f>16.834465</f>
        <v>16.834465000000002</v>
      </c>
      <c r="J312" s="2"/>
      <c r="K312" s="2">
        <f>27.13281</f>
        <v>27.132809999999999</v>
      </c>
      <c r="L312" s="5"/>
      <c r="M312" s="6">
        <v>0.79103639999999997</v>
      </c>
      <c r="N312" s="2"/>
      <c r="O312" s="2">
        <f>91.18048</f>
        <v>91.180480000000003</v>
      </c>
      <c r="P312" s="2">
        <f>81.4261</f>
        <v>81.426100000000005</v>
      </c>
    </row>
    <row r="313" spans="1:16" ht="17">
      <c r="A313" s="1" t="str">
        <f t="shared" si="13"/>
        <v>2020/05/17</v>
      </c>
      <c r="B313" s="1" t="str">
        <f>"21:00"</f>
        <v>21:00</v>
      </c>
      <c r="C313" s="2"/>
      <c r="D313" s="2">
        <f>0.99901986</f>
        <v>0.99901985999999998</v>
      </c>
      <c r="E313" s="2">
        <f>0.9934758</f>
        <v>0.99347580000000002</v>
      </c>
      <c r="F313" s="2"/>
      <c r="G313" s="2">
        <f>13.010805</f>
        <v>13.010805</v>
      </c>
      <c r="H313" s="2"/>
      <c r="I313" s="2">
        <f>31.337315</f>
        <v>31.337315</v>
      </c>
      <c r="J313" s="2"/>
      <c r="K313" s="2">
        <f>50.52171</f>
        <v>50.521709999999999</v>
      </c>
      <c r="L313" s="5"/>
      <c r="M313" s="6">
        <v>0.84279119999999996</v>
      </c>
      <c r="N313" s="2"/>
      <c r="O313" s="2">
        <f>89.533035</f>
        <v>89.533034999999998</v>
      </c>
      <c r="P313" s="2">
        <f>68.98228</f>
        <v>68.982280000000003</v>
      </c>
    </row>
    <row r="314" spans="1:16" ht="17">
      <c r="A314" s="1" t="str">
        <f t="shared" si="13"/>
        <v>2020/05/17</v>
      </c>
      <c r="B314" s="1" t="str">
        <f>"22:00"</f>
        <v>22:00</v>
      </c>
      <c r="C314" s="2"/>
      <c r="D314" s="2">
        <f>0.9822922</f>
        <v>0.98229219999999995</v>
      </c>
      <c r="E314" s="2">
        <f>0.9774573</f>
        <v>0.97745729999999997</v>
      </c>
      <c r="F314" s="2"/>
      <c r="G314" s="2">
        <f>4.5506506</f>
        <v>4.5506506</v>
      </c>
      <c r="H314" s="2"/>
      <c r="I314" s="2">
        <f>27.026176</f>
        <v>27.026176</v>
      </c>
      <c r="J314" s="2"/>
      <c r="K314" s="2">
        <f>34.003647</f>
        <v>34.003647000000001</v>
      </c>
      <c r="L314" s="5"/>
      <c r="M314" s="6">
        <v>0.72427355999999998</v>
      </c>
      <c r="N314" s="2"/>
      <c r="O314" s="2">
        <f>86.43366</f>
        <v>86.433660000000003</v>
      </c>
      <c r="P314" s="2">
        <f>65.22369</f>
        <v>65.223690000000005</v>
      </c>
    </row>
    <row r="315" spans="1:16" ht="17">
      <c r="A315" s="1" t="str">
        <f t="shared" si="13"/>
        <v>2020/05/17</v>
      </c>
      <c r="B315" s="1" t="str">
        <f>"23:00"</f>
        <v>23:00</v>
      </c>
      <c r="C315" s="2"/>
      <c r="D315" s="2">
        <f>0.9779009</f>
        <v>0.97790089999999996</v>
      </c>
      <c r="E315" s="2">
        <f>0.97086394</f>
        <v>0.97086393999999998</v>
      </c>
      <c r="F315" s="2"/>
      <c r="G315" s="2">
        <f>1.3303964</f>
        <v>1.3303963999999999</v>
      </c>
      <c r="H315" s="2"/>
      <c r="I315" s="2">
        <f>18.818947</f>
        <v>18.818947000000001</v>
      </c>
      <c r="J315" s="2"/>
      <c r="K315" s="2">
        <f>20.859144</f>
        <v>20.859144000000001</v>
      </c>
      <c r="L315" s="5"/>
      <c r="M315" s="6">
        <v>0.67345244000000004</v>
      </c>
      <c r="N315" s="2"/>
      <c r="O315" s="2">
        <f>82.95667</f>
        <v>82.956670000000003</v>
      </c>
      <c r="P315" s="2">
        <f>69.24823</f>
        <v>69.248230000000007</v>
      </c>
    </row>
    <row r="316" spans="1:16" ht="17">
      <c r="A316" s="1" t="str">
        <f t="shared" si="13"/>
        <v>2020/05/17</v>
      </c>
      <c r="B316" s="1" t="str">
        <f>"24:00"</f>
        <v>24:00</v>
      </c>
      <c r="C316" s="2"/>
      <c r="D316" s="2">
        <f>0.9776859</f>
        <v>0.9776859</v>
      </c>
      <c r="E316" s="2">
        <f>0.98264724</f>
        <v>0.98264724000000003</v>
      </c>
      <c r="F316" s="2"/>
      <c r="G316" s="2">
        <f>1.1398196</f>
        <v>1.1398196</v>
      </c>
      <c r="H316" s="2"/>
      <c r="I316" s="2">
        <f>16.874565</f>
        <v>16.874565</v>
      </c>
      <c r="J316" s="2"/>
      <c r="K316" s="2">
        <f>18.622257</f>
        <v>18.622257000000001</v>
      </c>
      <c r="L316" s="5"/>
      <c r="M316" s="6">
        <v>0.60711959999999998</v>
      </c>
      <c r="N316" s="2"/>
      <c r="O316" s="2">
        <f>77.42856</f>
        <v>77.428560000000004</v>
      </c>
      <c r="P316" s="2">
        <f>56.91664</f>
        <v>56.916640000000001</v>
      </c>
    </row>
    <row r="317" spans="1:16" ht="17">
      <c r="A317" s="1" t="str">
        <f t="shared" ref="A317:A340" si="14">"2020/05/18"</f>
        <v>2020/05/18</v>
      </c>
      <c r="B317" s="1" t="str">
        <f>"01:00"</f>
        <v>01:00</v>
      </c>
      <c r="C317" s="2">
        <f>0.9797553</f>
        <v>0.9797553</v>
      </c>
      <c r="D317" s="2">
        <f>0.98172665</f>
        <v>0.98172665000000003</v>
      </c>
      <c r="E317" s="2">
        <f>0.97451913</f>
        <v>0.97451913000000001</v>
      </c>
      <c r="F317" s="2">
        <f>5.0471025</f>
        <v>5.0471025000000003</v>
      </c>
      <c r="G317" s="2">
        <f>1.2488794</f>
        <v>1.2488794000000001</v>
      </c>
      <c r="H317" s="2">
        <f>18.631666</f>
        <v>18.631665999999999</v>
      </c>
      <c r="I317" s="2">
        <f>19.990072</f>
        <v>19.990072000000001</v>
      </c>
      <c r="J317" s="2">
        <f>25.630621</f>
        <v>25.630621000000001</v>
      </c>
      <c r="K317" s="2">
        <f>21.904922</f>
        <v>21.904921999999999</v>
      </c>
      <c r="L317" s="2">
        <f>0.6893964</f>
        <v>0.68939640000000002</v>
      </c>
      <c r="M317" s="2">
        <f>0.75386137</f>
        <v>0.75386136999999998</v>
      </c>
      <c r="N317" s="2">
        <f>64.22627</f>
        <v>64.22627</v>
      </c>
      <c r="O317" s="2">
        <f>70.74701</f>
        <v>70.747010000000003</v>
      </c>
      <c r="P317" s="2">
        <f>43.86721</f>
        <v>43.86721</v>
      </c>
    </row>
    <row r="318" spans="1:16" ht="17">
      <c r="A318" s="1" t="str">
        <f t="shared" si="14"/>
        <v>2020/05/18</v>
      </c>
      <c r="B318" s="1" t="str">
        <f>"02:00"</f>
        <v>02:00</v>
      </c>
      <c r="C318" s="2"/>
      <c r="D318" s="2">
        <f>0.98672545</f>
        <v>0.98672545</v>
      </c>
      <c r="E318" s="2">
        <f>0.98620665</f>
        <v>0.98620664999999996</v>
      </c>
      <c r="F318" s="2"/>
      <c r="G318" s="2">
        <f>0.8592033</f>
        <v>0.8592033</v>
      </c>
      <c r="H318" s="2"/>
      <c r="I318" s="2">
        <f>18.177385</f>
        <v>18.177385000000001</v>
      </c>
      <c r="J318" s="2"/>
      <c r="K318" s="2">
        <f>19.49494</f>
        <v>19.49494</v>
      </c>
      <c r="L318" s="2"/>
      <c r="M318" s="2">
        <f>0.6843133</f>
        <v>0.68431330000000001</v>
      </c>
      <c r="N318" s="2"/>
      <c r="O318" s="2">
        <f>64.70938</f>
        <v>64.709379999999996</v>
      </c>
      <c r="P318" s="2">
        <f>44.624214</f>
        <v>44.624214000000002</v>
      </c>
    </row>
    <row r="319" spans="1:16" ht="17">
      <c r="A319" s="1" t="str">
        <f t="shared" si="14"/>
        <v>2020/05/18</v>
      </c>
      <c r="B319" s="1" t="str">
        <f>"03:00"</f>
        <v>03:00</v>
      </c>
      <c r="C319" s="2"/>
      <c r="D319" s="2">
        <f>0.9844893</f>
        <v>0.98448930000000001</v>
      </c>
      <c r="E319" s="2">
        <f>0.9655918</f>
        <v>0.9655918</v>
      </c>
      <c r="F319" s="2"/>
      <c r="G319" s="2">
        <f>0.8680229</f>
        <v>0.86802290000000004</v>
      </c>
      <c r="H319" s="2"/>
      <c r="I319" s="2">
        <f>18.345465</f>
        <v>18.345465000000001</v>
      </c>
      <c r="J319" s="2"/>
      <c r="K319" s="2">
        <f>19.67613</f>
        <v>19.676130000000001</v>
      </c>
      <c r="L319" s="2"/>
      <c r="M319" s="2">
        <f>0.67120284</f>
        <v>0.67120283999999997</v>
      </c>
      <c r="N319" s="2"/>
      <c r="O319" s="2">
        <f>60.494633</f>
        <v>60.494633</v>
      </c>
      <c r="P319" s="2">
        <f>53.6687</f>
        <v>53.668700000000001</v>
      </c>
    </row>
    <row r="320" spans="1:16" ht="17">
      <c r="A320" s="1" t="str">
        <f t="shared" si="14"/>
        <v>2020/05/18</v>
      </c>
      <c r="B320" s="1" t="str">
        <f>"04:00"</f>
        <v>04:00</v>
      </c>
      <c r="C320" s="2"/>
      <c r="D320" s="2">
        <f>0.97661227</f>
        <v>0.97661226999999995</v>
      </c>
      <c r="E320" s="2">
        <f>0.9621362</f>
        <v>0.9621362</v>
      </c>
      <c r="F320" s="2"/>
      <c r="G320" s="2">
        <f>0.71045303</f>
        <v>0.71045303000000004</v>
      </c>
      <c r="H320" s="2"/>
      <c r="I320" s="2">
        <f>16.677746</f>
        <v>16.677745999999999</v>
      </c>
      <c r="J320" s="2"/>
      <c r="K320" s="2">
        <f>17.766897</f>
        <v>17.766897</v>
      </c>
      <c r="L320" s="2"/>
      <c r="M320" s="2">
        <f>0.811413</f>
        <v>0.81141300000000005</v>
      </c>
      <c r="N320" s="2"/>
      <c r="O320" s="2">
        <f>56.03043</f>
        <v>56.030430000000003</v>
      </c>
      <c r="P320" s="2">
        <f>45.71249</f>
        <v>45.712490000000003</v>
      </c>
    </row>
    <row r="321" spans="1:16" ht="17">
      <c r="A321" s="1" t="str">
        <f t="shared" si="14"/>
        <v>2020/05/18</v>
      </c>
      <c r="B321" s="1" t="str">
        <f>"05:00"</f>
        <v>05:00</v>
      </c>
      <c r="C321" s="2"/>
      <c r="D321" s="2">
        <f>0.9671767</f>
        <v>0.9671767</v>
      </c>
      <c r="E321" s="2">
        <f>0.9179909</f>
        <v>0.91799090000000005</v>
      </c>
      <c r="F321" s="2"/>
      <c r="G321" s="2">
        <f>0.97428364</f>
        <v>0.97428364000000001</v>
      </c>
      <c r="H321" s="2"/>
      <c r="I321" s="2">
        <f>17.666721</f>
        <v>17.666720999999999</v>
      </c>
      <c r="J321" s="2"/>
      <c r="K321" s="2">
        <f>19.160486</f>
        <v>19.160485999999999</v>
      </c>
      <c r="L321" s="2"/>
      <c r="M321" s="2">
        <f>0.7612574</f>
        <v>0.76125739999999997</v>
      </c>
      <c r="N321" s="2"/>
      <c r="O321" s="2">
        <f>54.234505</f>
        <v>54.234504999999999</v>
      </c>
      <c r="P321" s="2">
        <f>54.61486</f>
        <v>54.61486</v>
      </c>
    </row>
    <row r="322" spans="1:16" ht="17">
      <c r="A322" s="1" t="str">
        <f t="shared" si="14"/>
        <v>2020/05/18</v>
      </c>
      <c r="B322" s="1" t="str">
        <f>"06:00"</f>
        <v>06:00</v>
      </c>
      <c r="C322" s="2"/>
      <c r="D322" s="2">
        <f>0.96148986</f>
        <v>0.96148986000000003</v>
      </c>
      <c r="E322" s="2">
        <f>0.93196297</f>
        <v>0.93196296999999995</v>
      </c>
      <c r="F322" s="2"/>
      <c r="G322" s="2">
        <f>1.6647303</f>
        <v>1.6647303</v>
      </c>
      <c r="H322" s="2"/>
      <c r="I322" s="2">
        <f>22.999493</f>
        <v>22.999493000000001</v>
      </c>
      <c r="J322" s="2"/>
      <c r="K322" s="2">
        <f>25.551304</f>
        <v>25.551303999999998</v>
      </c>
      <c r="L322" s="2"/>
      <c r="M322" s="2">
        <f>0.67622566</f>
        <v>0.67622565999999995</v>
      </c>
      <c r="N322" s="2"/>
      <c r="O322" s="2">
        <f>52.927956</f>
        <v>52.927956000000002</v>
      </c>
      <c r="P322" s="2">
        <f>54.77129</f>
        <v>54.77129</v>
      </c>
    </row>
    <row r="323" spans="1:16" ht="17">
      <c r="A323" s="1" t="str">
        <f t="shared" si="14"/>
        <v>2020/05/18</v>
      </c>
      <c r="B323" s="1" t="str">
        <f>"07:00"</f>
        <v>07:00</v>
      </c>
      <c r="C323" s="2"/>
      <c r="D323" s="2">
        <f>0.96159506</f>
        <v>0.96159505999999995</v>
      </c>
      <c r="E323" s="2">
        <f>0.97170573</f>
        <v>0.97170573000000005</v>
      </c>
      <c r="F323" s="2"/>
      <c r="G323" s="2">
        <f>3.2213793</f>
        <v>3.2213793000000002</v>
      </c>
      <c r="H323" s="2"/>
      <c r="I323" s="2">
        <f>29.785217</f>
        <v>29.785216999999999</v>
      </c>
      <c r="J323" s="2"/>
      <c r="K323" s="2">
        <f>34.724983</f>
        <v>34.724983000000002</v>
      </c>
      <c r="L323" s="2"/>
      <c r="M323" s="2">
        <f>0.80374116</f>
        <v>0.80374115999999995</v>
      </c>
      <c r="N323" s="2"/>
      <c r="O323" s="2">
        <f>50.588505</f>
        <v>50.588504999999998</v>
      </c>
      <c r="P323" s="2">
        <f>50.53263</f>
        <v>50.532629999999997</v>
      </c>
    </row>
    <row r="324" spans="1:16" ht="17">
      <c r="A324" s="1" t="str">
        <f t="shared" si="14"/>
        <v>2020/05/18</v>
      </c>
      <c r="B324" s="1" t="str">
        <f>"08:00"</f>
        <v>08:00</v>
      </c>
      <c r="C324" s="2"/>
      <c r="D324" s="2">
        <f>0.9668294</f>
        <v>0.96682939999999995</v>
      </c>
      <c r="E324" s="2">
        <f>1.0245222</f>
        <v>1.0245222</v>
      </c>
      <c r="F324" s="2"/>
      <c r="G324" s="2">
        <f>15.072036</f>
        <v>15.072036000000001</v>
      </c>
      <c r="H324" s="2"/>
      <c r="I324" s="2">
        <f>35.439213</f>
        <v>35.439213000000002</v>
      </c>
      <c r="J324" s="2"/>
      <c r="K324" s="2">
        <f>58.541035</f>
        <v>58.541035000000001</v>
      </c>
      <c r="L324" s="2"/>
      <c r="M324" s="2">
        <f>1.0637743</f>
        <v>1.0637743</v>
      </c>
      <c r="N324" s="2"/>
      <c r="O324" s="2">
        <f>48.58916</f>
        <v>48.58916</v>
      </c>
      <c r="P324" s="2">
        <f>40.921898</f>
        <v>40.921897999999999</v>
      </c>
    </row>
    <row r="325" spans="1:16" ht="17">
      <c r="A325" s="1" t="str">
        <f t="shared" si="14"/>
        <v>2020/05/18</v>
      </c>
      <c r="B325" s="1" t="str">
        <f>"09:00"</f>
        <v>09:00</v>
      </c>
      <c r="C325" s="2"/>
      <c r="D325" s="2">
        <f>0.9657309</f>
        <v>0.96573089999999995</v>
      </c>
      <c r="E325" s="7" t="s">
        <v>21</v>
      </c>
      <c r="F325" s="2"/>
      <c r="G325" s="2">
        <f>23.509232</f>
        <v>23.509232000000001</v>
      </c>
      <c r="H325" s="2"/>
      <c r="I325" s="2">
        <f>35.6782</f>
        <v>35.678199999999997</v>
      </c>
      <c r="J325" s="2"/>
      <c r="K325" s="2">
        <f>70.14336</f>
        <v>70.143360000000001</v>
      </c>
      <c r="L325" s="2"/>
      <c r="M325" s="7" t="s">
        <v>21</v>
      </c>
      <c r="N325" s="2"/>
      <c r="O325" s="2">
        <f>48.14538</f>
        <v>48.145380000000003</v>
      </c>
      <c r="P325" s="2">
        <f>40.316936</f>
        <v>40.316935999999998</v>
      </c>
    </row>
    <row r="326" spans="1:16" ht="17">
      <c r="A326" s="1" t="str">
        <f t="shared" si="14"/>
        <v>2020/05/18</v>
      </c>
      <c r="B326" s="1" t="str">
        <f>"10:00"</f>
        <v>10:00</v>
      </c>
      <c r="C326" s="2"/>
      <c r="D326" s="2">
        <f>0.96577066</f>
        <v>0.96577066</v>
      </c>
      <c r="E326" s="2">
        <f>0.98648494</f>
        <v>0.98648493999999998</v>
      </c>
      <c r="F326" s="2"/>
      <c r="G326" s="7" t="s">
        <v>21</v>
      </c>
      <c r="H326" s="2"/>
      <c r="I326" s="7" t="s">
        <v>21</v>
      </c>
      <c r="J326" s="2"/>
      <c r="K326" s="7" t="s">
        <v>21</v>
      </c>
      <c r="L326" s="2"/>
      <c r="M326" s="2">
        <f>0.61310554</f>
        <v>0.61310553999999995</v>
      </c>
      <c r="N326" s="2"/>
      <c r="O326" s="2">
        <f>48.6484</f>
        <v>48.648400000000002</v>
      </c>
      <c r="P326" s="7" t="s">
        <v>21</v>
      </c>
    </row>
    <row r="327" spans="1:16" ht="17">
      <c r="A327" s="1" t="str">
        <f t="shared" si="14"/>
        <v>2020/05/18</v>
      </c>
      <c r="B327" s="1" t="str">
        <f>"11:00"</f>
        <v>11:00</v>
      </c>
      <c r="C327" s="2"/>
      <c r="D327" s="2">
        <f>0.9736524</f>
        <v>0.97365239999999997</v>
      </c>
      <c r="E327" s="2">
        <f>1.020764</f>
        <v>1.020764</v>
      </c>
      <c r="F327" s="2"/>
      <c r="G327" s="2">
        <f>6.785254</f>
        <v>6.7852540000000001</v>
      </c>
      <c r="H327" s="2"/>
      <c r="I327" s="2">
        <f>20.136133</f>
        <v>20.136133000000001</v>
      </c>
      <c r="J327" s="2"/>
      <c r="K327" s="2">
        <f>30.537477</f>
        <v>30.537476999999999</v>
      </c>
      <c r="L327" s="2"/>
      <c r="M327" s="2">
        <f>0.6391889</f>
        <v>0.63918889999999995</v>
      </c>
      <c r="N327" s="2"/>
      <c r="O327" s="2">
        <f>49.579365</f>
        <v>49.579365000000003</v>
      </c>
      <c r="P327" s="2">
        <f>60.18546</f>
        <v>60.185459999999999</v>
      </c>
    </row>
    <row r="328" spans="1:16" ht="17">
      <c r="A328" s="1" t="str">
        <f t="shared" si="14"/>
        <v>2020/05/18</v>
      </c>
      <c r="B328" s="1" t="str">
        <f>"12:00"</f>
        <v>12:00</v>
      </c>
      <c r="C328" s="2"/>
      <c r="D328" s="2">
        <f>0.984052</f>
        <v>0.98405200000000004</v>
      </c>
      <c r="E328" s="2">
        <f>1.0349334</f>
        <v>1.0349333999999999</v>
      </c>
      <c r="F328" s="2"/>
      <c r="G328" s="2">
        <f>7.7893996</f>
        <v>7.7893996000000003</v>
      </c>
      <c r="H328" s="2"/>
      <c r="I328" s="2">
        <f>20.178396</f>
        <v>20.178395999999999</v>
      </c>
      <c r="J328" s="2"/>
      <c r="K328" s="2">
        <f>31.36295</f>
        <v>31.362950000000001</v>
      </c>
      <c r="L328" s="2"/>
      <c r="M328" s="2">
        <f>0.83615065</f>
        <v>0.83615065</v>
      </c>
      <c r="N328" s="2"/>
      <c r="O328" s="2">
        <f>51.647934</f>
        <v>51.647933999999999</v>
      </c>
      <c r="P328" s="2">
        <f>60.192455</f>
        <v>60.192455000000002</v>
      </c>
    </row>
    <row r="329" spans="1:16" ht="17">
      <c r="A329" s="1" t="str">
        <f t="shared" si="14"/>
        <v>2020/05/18</v>
      </c>
      <c r="B329" s="1" t="str">
        <f>"13:00"</f>
        <v>13:00</v>
      </c>
      <c r="C329" s="2"/>
      <c r="D329" s="2">
        <f>0.992625</f>
        <v>0.99262499999999998</v>
      </c>
      <c r="E329" s="2">
        <f>0.97800153</f>
        <v>0.97800153000000001</v>
      </c>
      <c r="F329" s="2"/>
      <c r="G329" s="2">
        <f>7.480982</f>
        <v>7.480982</v>
      </c>
      <c r="H329" s="2"/>
      <c r="I329" s="2">
        <f>12.934255</f>
        <v>12.934255</v>
      </c>
      <c r="J329" s="2"/>
      <c r="K329" s="2">
        <f>21.621094</f>
        <v>21.621093999999999</v>
      </c>
      <c r="L329" s="2"/>
      <c r="M329" s="2">
        <f>0.6985536</f>
        <v>0.6985536</v>
      </c>
      <c r="N329" s="2"/>
      <c r="O329" s="2">
        <f>54.607384</f>
        <v>54.607384000000003</v>
      </c>
      <c r="P329" s="2">
        <f>75.331024</f>
        <v>75.331023999999999</v>
      </c>
    </row>
    <row r="330" spans="1:16" ht="17">
      <c r="A330" s="1" t="str">
        <f t="shared" si="14"/>
        <v>2020/05/18</v>
      </c>
      <c r="B330" s="1" t="str">
        <f>"14:00"</f>
        <v>14:00</v>
      </c>
      <c r="C330" s="2"/>
      <c r="D330" s="2">
        <f>0.9971758</f>
        <v>0.99717579999999995</v>
      </c>
      <c r="E330" s="2">
        <f>0.9638188</f>
        <v>0.96381879999999998</v>
      </c>
      <c r="F330" s="2"/>
      <c r="G330" s="2">
        <f>5.648109</f>
        <v>5.6481089999999998</v>
      </c>
      <c r="H330" s="2"/>
      <c r="I330" s="2">
        <f>8.300658</f>
        <v>8.3006580000000003</v>
      </c>
      <c r="J330" s="2"/>
      <c r="K330" s="2">
        <f>15.247229</f>
        <v>15.247229000000001</v>
      </c>
      <c r="L330" s="2"/>
      <c r="M330" s="2">
        <f>0.5834728</f>
        <v>0.58347280000000001</v>
      </c>
      <c r="N330" s="2"/>
      <c r="O330" s="2">
        <f>58.03499</f>
        <v>58.034990000000001</v>
      </c>
      <c r="P330" s="2">
        <f>78.7645</f>
        <v>78.764499999999998</v>
      </c>
    </row>
    <row r="331" spans="1:16" ht="17">
      <c r="A331" s="1" t="str">
        <f t="shared" si="14"/>
        <v>2020/05/18</v>
      </c>
      <c r="B331" s="1" t="str">
        <f>"15:00"</f>
        <v>15:00</v>
      </c>
      <c r="C331" s="2"/>
      <c r="D331" s="2">
        <f>0.9936758</f>
        <v>0.9936758</v>
      </c>
      <c r="E331" s="2">
        <f>0.947206</f>
        <v>0.94720599999999999</v>
      </c>
      <c r="F331" s="2"/>
      <c r="G331" s="2">
        <f>9.876462</f>
        <v>9.8764620000000001</v>
      </c>
      <c r="H331" s="2"/>
      <c r="I331" s="2">
        <f>7.3693824</f>
        <v>7.3693824000000001</v>
      </c>
      <c r="J331" s="2"/>
      <c r="K331" s="2">
        <f>17.393244</f>
        <v>17.393243999999999</v>
      </c>
      <c r="L331" s="2"/>
      <c r="M331" s="2">
        <f>0.6354793</f>
        <v>0.63547929999999997</v>
      </c>
      <c r="N331" s="2"/>
      <c r="O331" s="2">
        <f>62.99106</f>
        <v>62.991059999999997</v>
      </c>
      <c r="P331" s="2">
        <f>85.22512</f>
        <v>85.225120000000004</v>
      </c>
    </row>
    <row r="332" spans="1:16" ht="17">
      <c r="A332" s="1" t="str">
        <f t="shared" si="14"/>
        <v>2020/05/18</v>
      </c>
      <c r="B332" s="1" t="str">
        <f>"16:00"</f>
        <v>16:00</v>
      </c>
      <c r="C332" s="2"/>
      <c r="D332" s="2">
        <f>0.9832499</f>
        <v>0.98324990000000001</v>
      </c>
      <c r="E332" s="2">
        <f>0.95154065</f>
        <v>0.95154064999999999</v>
      </c>
      <c r="F332" s="2"/>
      <c r="G332" s="2">
        <f>7.970436</f>
        <v>7.9704360000000003</v>
      </c>
      <c r="H332" s="2"/>
      <c r="I332" s="2">
        <f>8.700287</f>
        <v>8.7002869999999994</v>
      </c>
      <c r="J332" s="2"/>
      <c r="K332" s="2">
        <f>17.462849</f>
        <v>17.462848999999999</v>
      </c>
      <c r="L332" s="2"/>
      <c r="M332" s="2">
        <f>0.65771496</f>
        <v>0.65771495999999996</v>
      </c>
      <c r="N332" s="2"/>
      <c r="O332" s="2">
        <f>69.65852</f>
        <v>69.658519999999996</v>
      </c>
      <c r="P332" s="2">
        <f>87.59414</f>
        <v>87.594139999999996</v>
      </c>
    </row>
    <row r="333" spans="1:16" ht="17">
      <c r="A333" s="1" t="str">
        <f t="shared" si="14"/>
        <v>2020/05/18</v>
      </c>
      <c r="B333" s="1" t="str">
        <f>"17:00"</f>
        <v>17:00</v>
      </c>
      <c r="C333" s="2"/>
      <c r="D333" s="2">
        <f>0.9832361</f>
        <v>0.98323609999999995</v>
      </c>
      <c r="E333" s="2">
        <f>0.9831391</f>
        <v>0.98313910000000004</v>
      </c>
      <c r="F333" s="2"/>
      <c r="G333" s="2">
        <f>3.9198208</f>
        <v>3.9198208000000001</v>
      </c>
      <c r="H333" s="2"/>
      <c r="I333" s="2">
        <f>11.843433</f>
        <v>11.843432999999999</v>
      </c>
      <c r="J333" s="2"/>
      <c r="K333" s="2">
        <f>17.279322</f>
        <v>17.279322000000001</v>
      </c>
      <c r="L333" s="2"/>
      <c r="M333" s="2">
        <f>0.7091738</f>
        <v>0.70917379999999997</v>
      </c>
      <c r="N333" s="2"/>
      <c r="O333" s="2">
        <f>76.34555</f>
        <v>76.345550000000003</v>
      </c>
      <c r="P333" s="2">
        <f>87.12614</f>
        <v>87.126140000000007</v>
      </c>
    </row>
    <row r="334" spans="1:16" ht="17">
      <c r="A334" s="1" t="str">
        <f t="shared" si="14"/>
        <v>2020/05/18</v>
      </c>
      <c r="B334" s="1" t="str">
        <f>"18:00"</f>
        <v>18:00</v>
      </c>
      <c r="C334" s="2"/>
      <c r="D334" s="2">
        <f>0.9831185</f>
        <v>0.98311850000000001</v>
      </c>
      <c r="E334" s="2">
        <f>0.9855443</f>
        <v>0.98554430000000004</v>
      </c>
      <c r="F334" s="2"/>
      <c r="G334" s="2">
        <f>3.4229288</f>
        <v>3.4229288000000002</v>
      </c>
      <c r="H334" s="2"/>
      <c r="I334" s="2">
        <f>14.271057</f>
        <v>14.271057000000001</v>
      </c>
      <c r="J334" s="2"/>
      <c r="K334" s="2">
        <f>19.47936</f>
        <v>19.47936</v>
      </c>
      <c r="L334" s="2"/>
      <c r="M334" s="2">
        <f>0.71085304</f>
        <v>0.71085304000000005</v>
      </c>
      <c r="N334" s="2"/>
      <c r="O334" s="2">
        <f>77.600464</f>
        <v>77.600464000000002</v>
      </c>
      <c r="P334" s="2">
        <f>86.38488</f>
        <v>86.384879999999995</v>
      </c>
    </row>
    <row r="335" spans="1:16" ht="17">
      <c r="A335" s="1" t="str">
        <f t="shared" si="14"/>
        <v>2020/05/18</v>
      </c>
      <c r="B335" s="1" t="str">
        <f>"19:00"</f>
        <v>19:00</v>
      </c>
      <c r="C335" s="2"/>
      <c r="D335" s="2">
        <f>0.98016256</f>
        <v>0.98016256000000002</v>
      </c>
      <c r="E335" s="2">
        <f>0.9971166</f>
        <v>0.99711660000000002</v>
      </c>
      <c r="F335" s="2"/>
      <c r="G335" s="2">
        <f>2.8248227</f>
        <v>2.8248226999999999</v>
      </c>
      <c r="H335" s="2"/>
      <c r="I335" s="2">
        <f>15.646484</f>
        <v>15.646483999999999</v>
      </c>
      <c r="J335" s="2"/>
      <c r="K335" s="2">
        <f>19.977678</f>
        <v>19.977678000000001</v>
      </c>
      <c r="L335" s="2"/>
      <c r="M335" s="2">
        <f>0.52605504</f>
        <v>0.52605504000000003</v>
      </c>
      <c r="N335" s="2"/>
      <c r="O335" s="2">
        <f>80.48065</f>
        <v>80.480649999999997</v>
      </c>
      <c r="P335" s="2">
        <f>83.226944</f>
        <v>83.226944000000003</v>
      </c>
    </row>
    <row r="336" spans="1:16" ht="17">
      <c r="A336" s="1" t="str">
        <f t="shared" si="14"/>
        <v>2020/05/18</v>
      </c>
      <c r="B336" s="1" t="str">
        <f>"20:00"</f>
        <v>20:00</v>
      </c>
      <c r="C336" s="2"/>
      <c r="D336" s="2">
        <f>0.97455674</f>
        <v>0.97455674000000003</v>
      </c>
      <c r="E336" s="2">
        <f>0.9900871</f>
        <v>0.9900871</v>
      </c>
      <c r="F336" s="2"/>
      <c r="G336" s="2">
        <f>2.4087708</f>
        <v>2.4087708000000001</v>
      </c>
      <c r="H336" s="2"/>
      <c r="I336" s="2">
        <f>17.293447</f>
        <v>17.293447</v>
      </c>
      <c r="J336" s="2"/>
      <c r="K336" s="2">
        <f>20.986715</f>
        <v>20.986715</v>
      </c>
      <c r="L336" s="2"/>
      <c r="M336" s="2">
        <f>0.6778289</f>
        <v>0.67782889999999996</v>
      </c>
      <c r="N336" s="2"/>
      <c r="O336" s="2">
        <f>82.73435</f>
        <v>82.734350000000006</v>
      </c>
      <c r="P336" s="2">
        <f>78.22205</f>
        <v>78.222049999999996</v>
      </c>
    </row>
    <row r="337" spans="1:16" ht="17">
      <c r="A337" s="1" t="str">
        <f t="shared" si="14"/>
        <v>2020/05/18</v>
      </c>
      <c r="B337" s="1" t="str">
        <f>"21:00"</f>
        <v>21:00</v>
      </c>
      <c r="C337" s="2"/>
      <c r="D337" s="2">
        <f>0.97859436</f>
        <v>0.97859436</v>
      </c>
      <c r="E337" s="2">
        <f>1.0103022</f>
        <v>1.0103021999999999</v>
      </c>
      <c r="F337" s="2"/>
      <c r="G337" s="2">
        <f>3.8611057</f>
        <v>3.8611057</v>
      </c>
      <c r="H337" s="2"/>
      <c r="I337" s="2">
        <f>20.844366</f>
        <v>20.844366000000001</v>
      </c>
      <c r="J337" s="2"/>
      <c r="K337" s="2">
        <f>26.039835</f>
        <v>26.039835</v>
      </c>
      <c r="L337" s="2"/>
      <c r="M337" s="2">
        <f>0.6146568</f>
        <v>0.6146568</v>
      </c>
      <c r="N337" s="2"/>
      <c r="O337" s="2">
        <f>81.98767</f>
        <v>81.987669999999994</v>
      </c>
      <c r="P337" s="2">
        <f>69.357605</f>
        <v>69.357605000000007</v>
      </c>
    </row>
    <row r="338" spans="1:16" ht="17">
      <c r="A338" s="1" t="str">
        <f t="shared" si="14"/>
        <v>2020/05/18</v>
      </c>
      <c r="B338" s="1" t="str">
        <f>"22:00"</f>
        <v>22:00</v>
      </c>
      <c r="C338" s="2"/>
      <c r="D338" s="2">
        <f>0.98079085</f>
        <v>0.98079084999999999</v>
      </c>
      <c r="E338" s="2">
        <f>0.9813908</f>
        <v>0.98139080000000001</v>
      </c>
      <c r="F338" s="2"/>
      <c r="G338" s="2">
        <f>2.8489225</f>
        <v>2.8489225</v>
      </c>
      <c r="H338" s="2"/>
      <c r="I338" s="2">
        <f>19.092907</f>
        <v>19.092907</v>
      </c>
      <c r="J338" s="2"/>
      <c r="K338" s="2">
        <f>23.213112</f>
        <v>23.213111999999999</v>
      </c>
      <c r="L338" s="2"/>
      <c r="M338" s="2">
        <f>0.52814364</f>
        <v>0.52814364000000003</v>
      </c>
      <c r="N338" s="2"/>
      <c r="O338" s="2">
        <f>80.7936</f>
        <v>80.793599999999998</v>
      </c>
      <c r="P338" s="2">
        <f>69.21193</f>
        <v>69.211929999999995</v>
      </c>
    </row>
    <row r="339" spans="1:16" ht="17">
      <c r="A339" s="1" t="str">
        <f t="shared" si="14"/>
        <v>2020/05/18</v>
      </c>
      <c r="B339" s="1" t="str">
        <f>"23:00"</f>
        <v>23:00</v>
      </c>
      <c r="C339" s="2"/>
      <c r="D339" s="2">
        <f>0.9852605</f>
        <v>0.98526049999999998</v>
      </c>
      <c r="E339" s="2">
        <f>0.982963</f>
        <v>0.98296300000000003</v>
      </c>
      <c r="F339" s="2"/>
      <c r="G339" s="2">
        <f>1.8892032</f>
        <v>1.8892032000000001</v>
      </c>
      <c r="H339" s="2"/>
      <c r="I339" s="2">
        <f>19.135769</f>
        <v>19.135769</v>
      </c>
      <c r="J339" s="2"/>
      <c r="K339" s="2">
        <f>22.032614</f>
        <v>22.032613999999999</v>
      </c>
      <c r="L339" s="2"/>
      <c r="M339" s="2">
        <f>0.5868062</f>
        <v>0.58680619999999994</v>
      </c>
      <c r="N339" s="2"/>
      <c r="O339" s="2">
        <f>78.13988</f>
        <v>78.139880000000005</v>
      </c>
      <c r="P339" s="2">
        <f>63.99531</f>
        <v>63.995310000000003</v>
      </c>
    </row>
    <row r="340" spans="1:16" ht="17">
      <c r="A340" s="1" t="str">
        <f t="shared" si="14"/>
        <v>2020/05/18</v>
      </c>
      <c r="B340" s="1" t="str">
        <f>"24:00"</f>
        <v>24:00</v>
      </c>
      <c r="C340" s="2"/>
      <c r="D340" s="2">
        <f>0.9896233</f>
        <v>0.98962329999999998</v>
      </c>
      <c r="E340" s="2">
        <f>0.98644334</f>
        <v>0.98644334</v>
      </c>
      <c r="F340" s="2"/>
      <c r="G340" s="2">
        <f>1.2289236</f>
        <v>1.2289235999999999</v>
      </c>
      <c r="H340" s="2"/>
      <c r="I340" s="2">
        <f>18.022238</f>
        <v>18.022238000000002</v>
      </c>
      <c r="J340" s="2"/>
      <c r="K340" s="2">
        <f>19.906738</f>
        <v>19.906738000000001</v>
      </c>
      <c r="L340" s="2"/>
      <c r="M340" s="2">
        <f>0.53685427</f>
        <v>0.53685426999999997</v>
      </c>
      <c r="N340" s="2"/>
      <c r="O340" s="2">
        <f>75.11016</f>
        <v>75.110159999999993</v>
      </c>
      <c r="P340" s="2">
        <f>63.35644</f>
        <v>63.356439999999999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18A60-CF50-E740-83C8-0E9D43B0FF3D}">
  <dimension ref="A1:AD337"/>
  <sheetViews>
    <sheetView topLeftCell="A65" workbookViewId="0">
      <selection activeCell="R26" sqref="R26"/>
    </sheetView>
  </sheetViews>
  <sheetFormatPr baseColWidth="10" defaultRowHeight="16"/>
  <cols>
    <col min="1" max="1" width="14.5" customWidth="1"/>
    <col min="2" max="2" width="8" customWidth="1"/>
    <col min="3" max="18" width="15.1640625" customWidth="1"/>
    <col min="246" max="246" width="14.5" customWidth="1"/>
    <col min="247" max="247" width="8" customWidth="1"/>
    <col min="248" max="263" width="15.1640625" customWidth="1"/>
    <col min="268" max="268" width="12.83203125" bestFit="1" customWidth="1"/>
    <col min="269" max="269" width="15.6640625" bestFit="1" customWidth="1"/>
    <col min="270" max="270" width="14.6640625" bestFit="1" customWidth="1"/>
    <col min="271" max="272" width="13.6640625" bestFit="1" customWidth="1"/>
    <col min="273" max="273" width="12.6640625" bestFit="1" customWidth="1"/>
    <col min="502" max="502" width="14.5" customWidth="1"/>
    <col min="503" max="503" width="8" customWidth="1"/>
    <col min="504" max="519" width="15.1640625" customWidth="1"/>
    <col min="524" max="524" width="12.83203125" bestFit="1" customWidth="1"/>
    <col min="525" max="525" width="15.6640625" bestFit="1" customWidth="1"/>
    <col min="526" max="526" width="14.6640625" bestFit="1" customWidth="1"/>
    <col min="527" max="528" width="13.6640625" bestFit="1" customWidth="1"/>
    <col min="529" max="529" width="12.6640625" bestFit="1" customWidth="1"/>
    <col min="758" max="758" width="14.5" customWidth="1"/>
    <col min="759" max="759" width="8" customWidth="1"/>
    <col min="760" max="775" width="15.1640625" customWidth="1"/>
    <col min="780" max="780" width="12.83203125" bestFit="1" customWidth="1"/>
    <col min="781" max="781" width="15.6640625" bestFit="1" customWidth="1"/>
    <col min="782" max="782" width="14.6640625" bestFit="1" customWidth="1"/>
    <col min="783" max="784" width="13.6640625" bestFit="1" customWidth="1"/>
    <col min="785" max="785" width="12.6640625" bestFit="1" customWidth="1"/>
    <col min="1014" max="1014" width="14.5" customWidth="1"/>
    <col min="1015" max="1015" width="8" customWidth="1"/>
    <col min="1016" max="1031" width="15.1640625" customWidth="1"/>
    <col min="1036" max="1036" width="12.83203125" bestFit="1" customWidth="1"/>
    <col min="1037" max="1037" width="15.6640625" bestFit="1" customWidth="1"/>
    <col min="1038" max="1038" width="14.6640625" bestFit="1" customWidth="1"/>
    <col min="1039" max="1040" width="13.6640625" bestFit="1" customWidth="1"/>
    <col min="1041" max="1041" width="12.6640625" bestFit="1" customWidth="1"/>
    <col min="1270" max="1270" width="14.5" customWidth="1"/>
    <col min="1271" max="1271" width="8" customWidth="1"/>
    <col min="1272" max="1287" width="15.1640625" customWidth="1"/>
    <col min="1292" max="1292" width="12.83203125" bestFit="1" customWidth="1"/>
    <col min="1293" max="1293" width="15.6640625" bestFit="1" customWidth="1"/>
    <col min="1294" max="1294" width="14.6640625" bestFit="1" customWidth="1"/>
    <col min="1295" max="1296" width="13.6640625" bestFit="1" customWidth="1"/>
    <col min="1297" max="1297" width="12.6640625" bestFit="1" customWidth="1"/>
    <col min="1526" max="1526" width="14.5" customWidth="1"/>
    <col min="1527" max="1527" width="8" customWidth="1"/>
    <col min="1528" max="1543" width="15.1640625" customWidth="1"/>
    <col min="1548" max="1548" width="12.83203125" bestFit="1" customWidth="1"/>
    <col min="1549" max="1549" width="15.6640625" bestFit="1" customWidth="1"/>
    <col min="1550" max="1550" width="14.6640625" bestFit="1" customWidth="1"/>
    <col min="1551" max="1552" width="13.6640625" bestFit="1" customWidth="1"/>
    <col min="1553" max="1553" width="12.6640625" bestFit="1" customWidth="1"/>
    <col min="1782" max="1782" width="14.5" customWidth="1"/>
    <col min="1783" max="1783" width="8" customWidth="1"/>
    <col min="1784" max="1799" width="15.1640625" customWidth="1"/>
    <col min="1804" max="1804" width="12.83203125" bestFit="1" customWidth="1"/>
    <col min="1805" max="1805" width="15.6640625" bestFit="1" customWidth="1"/>
    <col min="1806" max="1806" width="14.6640625" bestFit="1" customWidth="1"/>
    <col min="1807" max="1808" width="13.6640625" bestFit="1" customWidth="1"/>
    <col min="1809" max="1809" width="12.6640625" bestFit="1" customWidth="1"/>
    <col min="2038" max="2038" width="14.5" customWidth="1"/>
    <col min="2039" max="2039" width="8" customWidth="1"/>
    <col min="2040" max="2055" width="15.1640625" customWidth="1"/>
    <col min="2060" max="2060" width="12.83203125" bestFit="1" customWidth="1"/>
    <col min="2061" max="2061" width="15.6640625" bestFit="1" customWidth="1"/>
    <col min="2062" max="2062" width="14.6640625" bestFit="1" customWidth="1"/>
    <col min="2063" max="2064" width="13.6640625" bestFit="1" customWidth="1"/>
    <col min="2065" max="2065" width="12.6640625" bestFit="1" customWidth="1"/>
    <col min="2294" max="2294" width="14.5" customWidth="1"/>
    <col min="2295" max="2295" width="8" customWidth="1"/>
    <col min="2296" max="2311" width="15.1640625" customWidth="1"/>
    <col min="2316" max="2316" width="12.83203125" bestFit="1" customWidth="1"/>
    <col min="2317" max="2317" width="15.6640625" bestFit="1" customWidth="1"/>
    <col min="2318" max="2318" width="14.6640625" bestFit="1" customWidth="1"/>
    <col min="2319" max="2320" width="13.6640625" bestFit="1" customWidth="1"/>
    <col min="2321" max="2321" width="12.6640625" bestFit="1" customWidth="1"/>
    <col min="2550" max="2550" width="14.5" customWidth="1"/>
    <col min="2551" max="2551" width="8" customWidth="1"/>
    <col min="2552" max="2567" width="15.1640625" customWidth="1"/>
    <col min="2572" max="2572" width="12.83203125" bestFit="1" customWidth="1"/>
    <col min="2573" max="2573" width="15.6640625" bestFit="1" customWidth="1"/>
    <col min="2574" max="2574" width="14.6640625" bestFit="1" customWidth="1"/>
    <col min="2575" max="2576" width="13.6640625" bestFit="1" customWidth="1"/>
    <col min="2577" max="2577" width="12.6640625" bestFit="1" customWidth="1"/>
    <col min="2806" max="2806" width="14.5" customWidth="1"/>
    <col min="2807" max="2807" width="8" customWidth="1"/>
    <col min="2808" max="2823" width="15.1640625" customWidth="1"/>
    <col min="2828" max="2828" width="12.83203125" bestFit="1" customWidth="1"/>
    <col min="2829" max="2829" width="15.6640625" bestFit="1" customWidth="1"/>
    <col min="2830" max="2830" width="14.6640625" bestFit="1" customWidth="1"/>
    <col min="2831" max="2832" width="13.6640625" bestFit="1" customWidth="1"/>
    <col min="2833" max="2833" width="12.6640625" bestFit="1" customWidth="1"/>
    <col min="3062" max="3062" width="14.5" customWidth="1"/>
    <col min="3063" max="3063" width="8" customWidth="1"/>
    <col min="3064" max="3079" width="15.1640625" customWidth="1"/>
    <col min="3084" max="3084" width="12.83203125" bestFit="1" customWidth="1"/>
    <col min="3085" max="3085" width="15.6640625" bestFit="1" customWidth="1"/>
    <col min="3086" max="3086" width="14.6640625" bestFit="1" customWidth="1"/>
    <col min="3087" max="3088" width="13.6640625" bestFit="1" customWidth="1"/>
    <col min="3089" max="3089" width="12.6640625" bestFit="1" customWidth="1"/>
    <col min="3318" max="3318" width="14.5" customWidth="1"/>
    <col min="3319" max="3319" width="8" customWidth="1"/>
    <col min="3320" max="3335" width="15.1640625" customWidth="1"/>
    <col min="3340" max="3340" width="12.83203125" bestFit="1" customWidth="1"/>
    <col min="3341" max="3341" width="15.6640625" bestFit="1" customWidth="1"/>
    <col min="3342" max="3342" width="14.6640625" bestFit="1" customWidth="1"/>
    <col min="3343" max="3344" width="13.6640625" bestFit="1" customWidth="1"/>
    <col min="3345" max="3345" width="12.6640625" bestFit="1" customWidth="1"/>
    <col min="3574" max="3574" width="14.5" customWidth="1"/>
    <col min="3575" max="3575" width="8" customWidth="1"/>
    <col min="3576" max="3591" width="15.1640625" customWidth="1"/>
    <col min="3596" max="3596" width="12.83203125" bestFit="1" customWidth="1"/>
    <col min="3597" max="3597" width="15.6640625" bestFit="1" customWidth="1"/>
    <col min="3598" max="3598" width="14.6640625" bestFit="1" customWidth="1"/>
    <col min="3599" max="3600" width="13.6640625" bestFit="1" customWidth="1"/>
    <col min="3601" max="3601" width="12.6640625" bestFit="1" customWidth="1"/>
    <col min="3830" max="3830" width="14.5" customWidth="1"/>
    <col min="3831" max="3831" width="8" customWidth="1"/>
    <col min="3832" max="3847" width="15.1640625" customWidth="1"/>
    <col min="3852" max="3852" width="12.83203125" bestFit="1" customWidth="1"/>
    <col min="3853" max="3853" width="15.6640625" bestFit="1" customWidth="1"/>
    <col min="3854" max="3854" width="14.6640625" bestFit="1" customWidth="1"/>
    <col min="3855" max="3856" width="13.6640625" bestFit="1" customWidth="1"/>
    <col min="3857" max="3857" width="12.6640625" bestFit="1" customWidth="1"/>
    <col min="4086" max="4086" width="14.5" customWidth="1"/>
    <col min="4087" max="4087" width="8" customWidth="1"/>
    <col min="4088" max="4103" width="15.1640625" customWidth="1"/>
    <col min="4108" max="4108" width="12.83203125" bestFit="1" customWidth="1"/>
    <col min="4109" max="4109" width="15.6640625" bestFit="1" customWidth="1"/>
    <col min="4110" max="4110" width="14.6640625" bestFit="1" customWidth="1"/>
    <col min="4111" max="4112" width="13.6640625" bestFit="1" customWidth="1"/>
    <col min="4113" max="4113" width="12.6640625" bestFit="1" customWidth="1"/>
    <col min="4342" max="4342" width="14.5" customWidth="1"/>
    <col min="4343" max="4343" width="8" customWidth="1"/>
    <col min="4344" max="4359" width="15.1640625" customWidth="1"/>
    <col min="4364" max="4364" width="12.83203125" bestFit="1" customWidth="1"/>
    <col min="4365" max="4365" width="15.6640625" bestFit="1" customWidth="1"/>
    <col min="4366" max="4366" width="14.6640625" bestFit="1" customWidth="1"/>
    <col min="4367" max="4368" width="13.6640625" bestFit="1" customWidth="1"/>
    <col min="4369" max="4369" width="12.6640625" bestFit="1" customWidth="1"/>
    <col min="4598" max="4598" width="14.5" customWidth="1"/>
    <col min="4599" max="4599" width="8" customWidth="1"/>
    <col min="4600" max="4615" width="15.1640625" customWidth="1"/>
    <col min="4620" max="4620" width="12.83203125" bestFit="1" customWidth="1"/>
    <col min="4621" max="4621" width="15.6640625" bestFit="1" customWidth="1"/>
    <col min="4622" max="4622" width="14.6640625" bestFit="1" customWidth="1"/>
    <col min="4623" max="4624" width="13.6640625" bestFit="1" customWidth="1"/>
    <col min="4625" max="4625" width="12.6640625" bestFit="1" customWidth="1"/>
    <col min="4854" max="4854" width="14.5" customWidth="1"/>
    <col min="4855" max="4855" width="8" customWidth="1"/>
    <col min="4856" max="4871" width="15.1640625" customWidth="1"/>
    <col min="4876" max="4876" width="12.83203125" bestFit="1" customWidth="1"/>
    <col min="4877" max="4877" width="15.6640625" bestFit="1" customWidth="1"/>
    <col min="4878" max="4878" width="14.6640625" bestFit="1" customWidth="1"/>
    <col min="4879" max="4880" width="13.6640625" bestFit="1" customWidth="1"/>
    <col min="4881" max="4881" width="12.6640625" bestFit="1" customWidth="1"/>
    <col min="5110" max="5110" width="14.5" customWidth="1"/>
    <col min="5111" max="5111" width="8" customWidth="1"/>
    <col min="5112" max="5127" width="15.1640625" customWidth="1"/>
    <col min="5132" max="5132" width="12.83203125" bestFit="1" customWidth="1"/>
    <col min="5133" max="5133" width="15.6640625" bestFit="1" customWidth="1"/>
    <col min="5134" max="5134" width="14.6640625" bestFit="1" customWidth="1"/>
    <col min="5135" max="5136" width="13.6640625" bestFit="1" customWidth="1"/>
    <col min="5137" max="5137" width="12.6640625" bestFit="1" customWidth="1"/>
    <col min="5366" max="5366" width="14.5" customWidth="1"/>
    <col min="5367" max="5367" width="8" customWidth="1"/>
    <col min="5368" max="5383" width="15.1640625" customWidth="1"/>
    <col min="5388" max="5388" width="12.83203125" bestFit="1" customWidth="1"/>
    <col min="5389" max="5389" width="15.6640625" bestFit="1" customWidth="1"/>
    <col min="5390" max="5390" width="14.6640625" bestFit="1" customWidth="1"/>
    <col min="5391" max="5392" width="13.6640625" bestFit="1" customWidth="1"/>
    <col min="5393" max="5393" width="12.6640625" bestFit="1" customWidth="1"/>
    <col min="5622" max="5622" width="14.5" customWidth="1"/>
    <col min="5623" max="5623" width="8" customWidth="1"/>
    <col min="5624" max="5639" width="15.1640625" customWidth="1"/>
    <col min="5644" max="5644" width="12.83203125" bestFit="1" customWidth="1"/>
    <col min="5645" max="5645" width="15.6640625" bestFit="1" customWidth="1"/>
    <col min="5646" max="5646" width="14.6640625" bestFit="1" customWidth="1"/>
    <col min="5647" max="5648" width="13.6640625" bestFit="1" customWidth="1"/>
    <col min="5649" max="5649" width="12.6640625" bestFit="1" customWidth="1"/>
    <col min="5878" max="5878" width="14.5" customWidth="1"/>
    <col min="5879" max="5879" width="8" customWidth="1"/>
    <col min="5880" max="5895" width="15.1640625" customWidth="1"/>
    <col min="5900" max="5900" width="12.83203125" bestFit="1" customWidth="1"/>
    <col min="5901" max="5901" width="15.6640625" bestFit="1" customWidth="1"/>
    <col min="5902" max="5902" width="14.6640625" bestFit="1" customWidth="1"/>
    <col min="5903" max="5904" width="13.6640625" bestFit="1" customWidth="1"/>
    <col min="5905" max="5905" width="12.6640625" bestFit="1" customWidth="1"/>
    <col min="6134" max="6134" width="14.5" customWidth="1"/>
    <col min="6135" max="6135" width="8" customWidth="1"/>
    <col min="6136" max="6151" width="15.1640625" customWidth="1"/>
    <col min="6156" max="6156" width="12.83203125" bestFit="1" customWidth="1"/>
    <col min="6157" max="6157" width="15.6640625" bestFit="1" customWidth="1"/>
    <col min="6158" max="6158" width="14.6640625" bestFit="1" customWidth="1"/>
    <col min="6159" max="6160" width="13.6640625" bestFit="1" customWidth="1"/>
    <col min="6161" max="6161" width="12.6640625" bestFit="1" customWidth="1"/>
    <col min="6390" max="6390" width="14.5" customWidth="1"/>
    <col min="6391" max="6391" width="8" customWidth="1"/>
    <col min="6392" max="6407" width="15.1640625" customWidth="1"/>
    <col min="6412" max="6412" width="12.83203125" bestFit="1" customWidth="1"/>
    <col min="6413" max="6413" width="15.6640625" bestFit="1" customWidth="1"/>
    <col min="6414" max="6414" width="14.6640625" bestFit="1" customWidth="1"/>
    <col min="6415" max="6416" width="13.6640625" bestFit="1" customWidth="1"/>
    <col min="6417" max="6417" width="12.6640625" bestFit="1" customWidth="1"/>
    <col min="6646" max="6646" width="14.5" customWidth="1"/>
    <col min="6647" max="6647" width="8" customWidth="1"/>
    <col min="6648" max="6663" width="15.1640625" customWidth="1"/>
    <col min="6668" max="6668" width="12.83203125" bestFit="1" customWidth="1"/>
    <col min="6669" max="6669" width="15.6640625" bestFit="1" customWidth="1"/>
    <col min="6670" max="6670" width="14.6640625" bestFit="1" customWidth="1"/>
    <col min="6671" max="6672" width="13.6640625" bestFit="1" customWidth="1"/>
    <col min="6673" max="6673" width="12.6640625" bestFit="1" customWidth="1"/>
    <col min="6902" max="6902" width="14.5" customWidth="1"/>
    <col min="6903" max="6903" width="8" customWidth="1"/>
    <col min="6904" max="6919" width="15.1640625" customWidth="1"/>
    <col min="6924" max="6924" width="12.83203125" bestFit="1" customWidth="1"/>
    <col min="6925" max="6925" width="15.6640625" bestFit="1" customWidth="1"/>
    <col min="6926" max="6926" width="14.6640625" bestFit="1" customWidth="1"/>
    <col min="6927" max="6928" width="13.6640625" bestFit="1" customWidth="1"/>
    <col min="6929" max="6929" width="12.6640625" bestFit="1" customWidth="1"/>
    <col min="7158" max="7158" width="14.5" customWidth="1"/>
    <col min="7159" max="7159" width="8" customWidth="1"/>
    <col min="7160" max="7175" width="15.1640625" customWidth="1"/>
    <col min="7180" max="7180" width="12.83203125" bestFit="1" customWidth="1"/>
    <col min="7181" max="7181" width="15.6640625" bestFit="1" customWidth="1"/>
    <col min="7182" max="7182" width="14.6640625" bestFit="1" customWidth="1"/>
    <col min="7183" max="7184" width="13.6640625" bestFit="1" customWidth="1"/>
    <col min="7185" max="7185" width="12.6640625" bestFit="1" customWidth="1"/>
    <col min="7414" max="7414" width="14.5" customWidth="1"/>
    <col min="7415" max="7415" width="8" customWidth="1"/>
    <col min="7416" max="7431" width="15.1640625" customWidth="1"/>
    <col min="7436" max="7436" width="12.83203125" bestFit="1" customWidth="1"/>
    <col min="7437" max="7437" width="15.6640625" bestFit="1" customWidth="1"/>
    <col min="7438" max="7438" width="14.6640625" bestFit="1" customWidth="1"/>
    <col min="7439" max="7440" width="13.6640625" bestFit="1" customWidth="1"/>
    <col min="7441" max="7441" width="12.6640625" bestFit="1" customWidth="1"/>
    <col min="7670" max="7670" width="14.5" customWidth="1"/>
    <col min="7671" max="7671" width="8" customWidth="1"/>
    <col min="7672" max="7687" width="15.1640625" customWidth="1"/>
    <col min="7692" max="7692" width="12.83203125" bestFit="1" customWidth="1"/>
    <col min="7693" max="7693" width="15.6640625" bestFit="1" customWidth="1"/>
    <col min="7694" max="7694" width="14.6640625" bestFit="1" customWidth="1"/>
    <col min="7695" max="7696" width="13.6640625" bestFit="1" customWidth="1"/>
    <col min="7697" max="7697" width="12.6640625" bestFit="1" customWidth="1"/>
    <col min="7926" max="7926" width="14.5" customWidth="1"/>
    <col min="7927" max="7927" width="8" customWidth="1"/>
    <col min="7928" max="7943" width="15.1640625" customWidth="1"/>
    <col min="7948" max="7948" width="12.83203125" bestFit="1" customWidth="1"/>
    <col min="7949" max="7949" width="15.6640625" bestFit="1" customWidth="1"/>
    <col min="7950" max="7950" width="14.6640625" bestFit="1" customWidth="1"/>
    <col min="7951" max="7952" width="13.6640625" bestFit="1" customWidth="1"/>
    <col min="7953" max="7953" width="12.6640625" bestFit="1" customWidth="1"/>
    <col min="8182" max="8182" width="14.5" customWidth="1"/>
    <col min="8183" max="8183" width="8" customWidth="1"/>
    <col min="8184" max="8199" width="15.1640625" customWidth="1"/>
    <col min="8204" max="8204" width="12.83203125" bestFit="1" customWidth="1"/>
    <col min="8205" max="8205" width="15.6640625" bestFit="1" customWidth="1"/>
    <col min="8206" max="8206" width="14.6640625" bestFit="1" customWidth="1"/>
    <col min="8207" max="8208" width="13.6640625" bestFit="1" customWidth="1"/>
    <col min="8209" max="8209" width="12.6640625" bestFit="1" customWidth="1"/>
    <col min="8438" max="8438" width="14.5" customWidth="1"/>
    <col min="8439" max="8439" width="8" customWidth="1"/>
    <col min="8440" max="8455" width="15.1640625" customWidth="1"/>
    <col min="8460" max="8460" width="12.83203125" bestFit="1" customWidth="1"/>
    <col min="8461" max="8461" width="15.6640625" bestFit="1" customWidth="1"/>
    <col min="8462" max="8462" width="14.6640625" bestFit="1" customWidth="1"/>
    <col min="8463" max="8464" width="13.6640625" bestFit="1" customWidth="1"/>
    <col min="8465" max="8465" width="12.6640625" bestFit="1" customWidth="1"/>
    <col min="8694" max="8694" width="14.5" customWidth="1"/>
    <col min="8695" max="8695" width="8" customWidth="1"/>
    <col min="8696" max="8711" width="15.1640625" customWidth="1"/>
    <col min="8716" max="8716" width="12.83203125" bestFit="1" customWidth="1"/>
    <col min="8717" max="8717" width="15.6640625" bestFit="1" customWidth="1"/>
    <col min="8718" max="8718" width="14.6640625" bestFit="1" customWidth="1"/>
    <col min="8719" max="8720" width="13.6640625" bestFit="1" customWidth="1"/>
    <col min="8721" max="8721" width="12.6640625" bestFit="1" customWidth="1"/>
    <col min="8950" max="8950" width="14.5" customWidth="1"/>
    <col min="8951" max="8951" width="8" customWidth="1"/>
    <col min="8952" max="8967" width="15.1640625" customWidth="1"/>
    <col min="8972" max="8972" width="12.83203125" bestFit="1" customWidth="1"/>
    <col min="8973" max="8973" width="15.6640625" bestFit="1" customWidth="1"/>
    <col min="8974" max="8974" width="14.6640625" bestFit="1" customWidth="1"/>
    <col min="8975" max="8976" width="13.6640625" bestFit="1" customWidth="1"/>
    <col min="8977" max="8977" width="12.6640625" bestFit="1" customWidth="1"/>
    <col min="9206" max="9206" width="14.5" customWidth="1"/>
    <col min="9207" max="9207" width="8" customWidth="1"/>
    <col min="9208" max="9223" width="15.1640625" customWidth="1"/>
    <col min="9228" max="9228" width="12.83203125" bestFit="1" customWidth="1"/>
    <col min="9229" max="9229" width="15.6640625" bestFit="1" customWidth="1"/>
    <col min="9230" max="9230" width="14.6640625" bestFit="1" customWidth="1"/>
    <col min="9231" max="9232" width="13.6640625" bestFit="1" customWidth="1"/>
    <col min="9233" max="9233" width="12.6640625" bestFit="1" customWidth="1"/>
    <col min="9462" max="9462" width="14.5" customWidth="1"/>
    <col min="9463" max="9463" width="8" customWidth="1"/>
    <col min="9464" max="9479" width="15.1640625" customWidth="1"/>
    <col min="9484" max="9484" width="12.83203125" bestFit="1" customWidth="1"/>
    <col min="9485" max="9485" width="15.6640625" bestFit="1" customWidth="1"/>
    <col min="9486" max="9486" width="14.6640625" bestFit="1" customWidth="1"/>
    <col min="9487" max="9488" width="13.6640625" bestFit="1" customWidth="1"/>
    <col min="9489" max="9489" width="12.6640625" bestFit="1" customWidth="1"/>
    <col min="9718" max="9718" width="14.5" customWidth="1"/>
    <col min="9719" max="9719" width="8" customWidth="1"/>
    <col min="9720" max="9735" width="15.1640625" customWidth="1"/>
    <col min="9740" max="9740" width="12.83203125" bestFit="1" customWidth="1"/>
    <col min="9741" max="9741" width="15.6640625" bestFit="1" customWidth="1"/>
    <col min="9742" max="9742" width="14.6640625" bestFit="1" customWidth="1"/>
    <col min="9743" max="9744" width="13.6640625" bestFit="1" customWidth="1"/>
    <col min="9745" max="9745" width="12.6640625" bestFit="1" customWidth="1"/>
    <col min="9974" max="9974" width="14.5" customWidth="1"/>
    <col min="9975" max="9975" width="8" customWidth="1"/>
    <col min="9976" max="9991" width="15.1640625" customWidth="1"/>
    <col min="9996" max="9996" width="12.83203125" bestFit="1" customWidth="1"/>
    <col min="9997" max="9997" width="15.6640625" bestFit="1" customWidth="1"/>
    <col min="9998" max="9998" width="14.6640625" bestFit="1" customWidth="1"/>
    <col min="9999" max="10000" width="13.6640625" bestFit="1" customWidth="1"/>
    <col min="10001" max="10001" width="12.6640625" bestFit="1" customWidth="1"/>
    <col min="10230" max="10230" width="14.5" customWidth="1"/>
    <col min="10231" max="10231" width="8" customWidth="1"/>
    <col min="10232" max="10247" width="15.1640625" customWidth="1"/>
    <col min="10252" max="10252" width="12.83203125" bestFit="1" customWidth="1"/>
    <col min="10253" max="10253" width="15.6640625" bestFit="1" customWidth="1"/>
    <col min="10254" max="10254" width="14.6640625" bestFit="1" customWidth="1"/>
    <col min="10255" max="10256" width="13.6640625" bestFit="1" customWidth="1"/>
    <col min="10257" max="10257" width="12.6640625" bestFit="1" customWidth="1"/>
    <col min="10486" max="10486" width="14.5" customWidth="1"/>
    <col min="10487" max="10487" width="8" customWidth="1"/>
    <col min="10488" max="10503" width="15.1640625" customWidth="1"/>
    <col min="10508" max="10508" width="12.83203125" bestFit="1" customWidth="1"/>
    <col min="10509" max="10509" width="15.6640625" bestFit="1" customWidth="1"/>
    <col min="10510" max="10510" width="14.6640625" bestFit="1" customWidth="1"/>
    <col min="10511" max="10512" width="13.6640625" bestFit="1" customWidth="1"/>
    <col min="10513" max="10513" width="12.6640625" bestFit="1" customWidth="1"/>
    <col min="10742" max="10742" width="14.5" customWidth="1"/>
    <col min="10743" max="10743" width="8" customWidth="1"/>
    <col min="10744" max="10759" width="15.1640625" customWidth="1"/>
    <col min="10764" max="10764" width="12.83203125" bestFit="1" customWidth="1"/>
    <col min="10765" max="10765" width="15.6640625" bestFit="1" customWidth="1"/>
    <col min="10766" max="10766" width="14.6640625" bestFit="1" customWidth="1"/>
    <col min="10767" max="10768" width="13.6640625" bestFit="1" customWidth="1"/>
    <col min="10769" max="10769" width="12.6640625" bestFit="1" customWidth="1"/>
    <col min="10998" max="10998" width="14.5" customWidth="1"/>
    <col min="10999" max="10999" width="8" customWidth="1"/>
    <col min="11000" max="11015" width="15.1640625" customWidth="1"/>
    <col min="11020" max="11020" width="12.83203125" bestFit="1" customWidth="1"/>
    <col min="11021" max="11021" width="15.6640625" bestFit="1" customWidth="1"/>
    <col min="11022" max="11022" width="14.6640625" bestFit="1" customWidth="1"/>
    <col min="11023" max="11024" width="13.6640625" bestFit="1" customWidth="1"/>
    <col min="11025" max="11025" width="12.6640625" bestFit="1" customWidth="1"/>
    <col min="11254" max="11254" width="14.5" customWidth="1"/>
    <col min="11255" max="11255" width="8" customWidth="1"/>
    <col min="11256" max="11271" width="15.1640625" customWidth="1"/>
    <col min="11276" max="11276" width="12.83203125" bestFit="1" customWidth="1"/>
    <col min="11277" max="11277" width="15.6640625" bestFit="1" customWidth="1"/>
    <col min="11278" max="11278" width="14.6640625" bestFit="1" customWidth="1"/>
    <col min="11279" max="11280" width="13.6640625" bestFit="1" customWidth="1"/>
    <col min="11281" max="11281" width="12.6640625" bestFit="1" customWidth="1"/>
    <col min="11510" max="11510" width="14.5" customWidth="1"/>
    <col min="11511" max="11511" width="8" customWidth="1"/>
    <col min="11512" max="11527" width="15.1640625" customWidth="1"/>
    <col min="11532" max="11532" width="12.83203125" bestFit="1" customWidth="1"/>
    <col min="11533" max="11533" width="15.6640625" bestFit="1" customWidth="1"/>
    <col min="11534" max="11534" width="14.6640625" bestFit="1" customWidth="1"/>
    <col min="11535" max="11536" width="13.6640625" bestFit="1" customWidth="1"/>
    <col min="11537" max="11537" width="12.6640625" bestFit="1" customWidth="1"/>
    <col min="11766" max="11766" width="14.5" customWidth="1"/>
    <col min="11767" max="11767" width="8" customWidth="1"/>
    <col min="11768" max="11783" width="15.1640625" customWidth="1"/>
    <col min="11788" max="11788" width="12.83203125" bestFit="1" customWidth="1"/>
    <col min="11789" max="11789" width="15.6640625" bestFit="1" customWidth="1"/>
    <col min="11790" max="11790" width="14.6640625" bestFit="1" customWidth="1"/>
    <col min="11791" max="11792" width="13.6640625" bestFit="1" customWidth="1"/>
    <col min="11793" max="11793" width="12.6640625" bestFit="1" customWidth="1"/>
    <col min="12022" max="12022" width="14.5" customWidth="1"/>
    <col min="12023" max="12023" width="8" customWidth="1"/>
    <col min="12024" max="12039" width="15.1640625" customWidth="1"/>
    <col min="12044" max="12044" width="12.83203125" bestFit="1" customWidth="1"/>
    <col min="12045" max="12045" width="15.6640625" bestFit="1" customWidth="1"/>
    <col min="12046" max="12046" width="14.6640625" bestFit="1" customWidth="1"/>
    <col min="12047" max="12048" width="13.6640625" bestFit="1" customWidth="1"/>
    <col min="12049" max="12049" width="12.6640625" bestFit="1" customWidth="1"/>
    <col min="12278" max="12278" width="14.5" customWidth="1"/>
    <col min="12279" max="12279" width="8" customWidth="1"/>
    <col min="12280" max="12295" width="15.1640625" customWidth="1"/>
    <col min="12300" max="12300" width="12.83203125" bestFit="1" customWidth="1"/>
    <col min="12301" max="12301" width="15.6640625" bestFit="1" customWidth="1"/>
    <col min="12302" max="12302" width="14.6640625" bestFit="1" customWidth="1"/>
    <col min="12303" max="12304" width="13.6640625" bestFit="1" customWidth="1"/>
    <col min="12305" max="12305" width="12.6640625" bestFit="1" customWidth="1"/>
    <col min="12534" max="12534" width="14.5" customWidth="1"/>
    <col min="12535" max="12535" width="8" customWidth="1"/>
    <col min="12536" max="12551" width="15.1640625" customWidth="1"/>
    <col min="12556" max="12556" width="12.83203125" bestFit="1" customWidth="1"/>
    <col min="12557" max="12557" width="15.6640625" bestFit="1" customWidth="1"/>
    <col min="12558" max="12558" width="14.6640625" bestFit="1" customWidth="1"/>
    <col min="12559" max="12560" width="13.6640625" bestFit="1" customWidth="1"/>
    <col min="12561" max="12561" width="12.6640625" bestFit="1" customWidth="1"/>
    <col min="12790" max="12790" width="14.5" customWidth="1"/>
    <col min="12791" max="12791" width="8" customWidth="1"/>
    <col min="12792" max="12807" width="15.1640625" customWidth="1"/>
    <col min="12812" max="12812" width="12.83203125" bestFit="1" customWidth="1"/>
    <col min="12813" max="12813" width="15.6640625" bestFit="1" customWidth="1"/>
    <col min="12814" max="12814" width="14.6640625" bestFit="1" customWidth="1"/>
    <col min="12815" max="12816" width="13.6640625" bestFit="1" customWidth="1"/>
    <col min="12817" max="12817" width="12.6640625" bestFit="1" customWidth="1"/>
    <col min="13046" max="13046" width="14.5" customWidth="1"/>
    <col min="13047" max="13047" width="8" customWidth="1"/>
    <col min="13048" max="13063" width="15.1640625" customWidth="1"/>
    <col min="13068" max="13068" width="12.83203125" bestFit="1" customWidth="1"/>
    <col min="13069" max="13069" width="15.6640625" bestFit="1" customWidth="1"/>
    <col min="13070" max="13070" width="14.6640625" bestFit="1" customWidth="1"/>
    <col min="13071" max="13072" width="13.6640625" bestFit="1" customWidth="1"/>
    <col min="13073" max="13073" width="12.6640625" bestFit="1" customWidth="1"/>
    <col min="13302" max="13302" width="14.5" customWidth="1"/>
    <col min="13303" max="13303" width="8" customWidth="1"/>
    <col min="13304" max="13319" width="15.1640625" customWidth="1"/>
    <col min="13324" max="13324" width="12.83203125" bestFit="1" customWidth="1"/>
    <col min="13325" max="13325" width="15.6640625" bestFit="1" customWidth="1"/>
    <col min="13326" max="13326" width="14.6640625" bestFit="1" customWidth="1"/>
    <col min="13327" max="13328" width="13.6640625" bestFit="1" customWidth="1"/>
    <col min="13329" max="13329" width="12.6640625" bestFit="1" customWidth="1"/>
    <col min="13558" max="13558" width="14.5" customWidth="1"/>
    <col min="13559" max="13559" width="8" customWidth="1"/>
    <col min="13560" max="13575" width="15.1640625" customWidth="1"/>
    <col min="13580" max="13580" width="12.83203125" bestFit="1" customWidth="1"/>
    <col min="13581" max="13581" width="15.6640625" bestFit="1" customWidth="1"/>
    <col min="13582" max="13582" width="14.6640625" bestFit="1" customWidth="1"/>
    <col min="13583" max="13584" width="13.6640625" bestFit="1" customWidth="1"/>
    <col min="13585" max="13585" width="12.6640625" bestFit="1" customWidth="1"/>
    <col min="13814" max="13814" width="14.5" customWidth="1"/>
    <col min="13815" max="13815" width="8" customWidth="1"/>
    <col min="13816" max="13831" width="15.1640625" customWidth="1"/>
    <col min="13836" max="13836" width="12.83203125" bestFit="1" customWidth="1"/>
    <col min="13837" max="13837" width="15.6640625" bestFit="1" customWidth="1"/>
    <col min="13838" max="13838" width="14.6640625" bestFit="1" customWidth="1"/>
    <col min="13839" max="13840" width="13.6640625" bestFit="1" customWidth="1"/>
    <col min="13841" max="13841" width="12.6640625" bestFit="1" customWidth="1"/>
    <col min="14070" max="14070" width="14.5" customWidth="1"/>
    <col min="14071" max="14071" width="8" customWidth="1"/>
    <col min="14072" max="14087" width="15.1640625" customWidth="1"/>
    <col min="14092" max="14092" width="12.83203125" bestFit="1" customWidth="1"/>
    <col min="14093" max="14093" width="15.6640625" bestFit="1" customWidth="1"/>
    <col min="14094" max="14094" width="14.6640625" bestFit="1" customWidth="1"/>
    <col min="14095" max="14096" width="13.6640625" bestFit="1" customWidth="1"/>
    <col min="14097" max="14097" width="12.6640625" bestFit="1" customWidth="1"/>
    <col min="14326" max="14326" width="14.5" customWidth="1"/>
    <col min="14327" max="14327" width="8" customWidth="1"/>
    <col min="14328" max="14343" width="15.1640625" customWidth="1"/>
    <col min="14348" max="14348" width="12.83203125" bestFit="1" customWidth="1"/>
    <col min="14349" max="14349" width="15.6640625" bestFit="1" customWidth="1"/>
    <col min="14350" max="14350" width="14.6640625" bestFit="1" customWidth="1"/>
    <col min="14351" max="14352" width="13.6640625" bestFit="1" customWidth="1"/>
    <col min="14353" max="14353" width="12.6640625" bestFit="1" customWidth="1"/>
    <col min="14582" max="14582" width="14.5" customWidth="1"/>
    <col min="14583" max="14583" width="8" customWidth="1"/>
    <col min="14584" max="14599" width="15.1640625" customWidth="1"/>
    <col min="14604" max="14604" width="12.83203125" bestFit="1" customWidth="1"/>
    <col min="14605" max="14605" width="15.6640625" bestFit="1" customWidth="1"/>
    <col min="14606" max="14606" width="14.6640625" bestFit="1" customWidth="1"/>
    <col min="14607" max="14608" width="13.6640625" bestFit="1" customWidth="1"/>
    <col min="14609" max="14609" width="12.6640625" bestFit="1" customWidth="1"/>
    <col min="14838" max="14838" width="14.5" customWidth="1"/>
    <col min="14839" max="14839" width="8" customWidth="1"/>
    <col min="14840" max="14855" width="15.1640625" customWidth="1"/>
    <col min="14860" max="14860" width="12.83203125" bestFit="1" customWidth="1"/>
    <col min="14861" max="14861" width="15.6640625" bestFit="1" customWidth="1"/>
    <col min="14862" max="14862" width="14.6640625" bestFit="1" customWidth="1"/>
    <col min="14863" max="14864" width="13.6640625" bestFit="1" customWidth="1"/>
    <col min="14865" max="14865" width="12.6640625" bestFit="1" customWidth="1"/>
    <col min="15094" max="15094" width="14.5" customWidth="1"/>
    <col min="15095" max="15095" width="8" customWidth="1"/>
    <col min="15096" max="15111" width="15.1640625" customWidth="1"/>
    <col min="15116" max="15116" width="12.83203125" bestFit="1" customWidth="1"/>
    <col min="15117" max="15117" width="15.6640625" bestFit="1" customWidth="1"/>
    <col min="15118" max="15118" width="14.6640625" bestFit="1" customWidth="1"/>
    <col min="15119" max="15120" width="13.6640625" bestFit="1" customWidth="1"/>
    <col min="15121" max="15121" width="12.6640625" bestFit="1" customWidth="1"/>
    <col min="15350" max="15350" width="14.5" customWidth="1"/>
    <col min="15351" max="15351" width="8" customWidth="1"/>
    <col min="15352" max="15367" width="15.1640625" customWidth="1"/>
    <col min="15372" max="15372" width="12.83203125" bestFit="1" customWidth="1"/>
    <col min="15373" max="15373" width="15.6640625" bestFit="1" customWidth="1"/>
    <col min="15374" max="15374" width="14.6640625" bestFit="1" customWidth="1"/>
    <col min="15375" max="15376" width="13.6640625" bestFit="1" customWidth="1"/>
    <col min="15377" max="15377" width="12.6640625" bestFit="1" customWidth="1"/>
    <col min="15606" max="15606" width="14.5" customWidth="1"/>
    <col min="15607" max="15607" width="8" customWidth="1"/>
    <col min="15608" max="15623" width="15.1640625" customWidth="1"/>
    <col min="15628" max="15628" width="12.83203125" bestFit="1" customWidth="1"/>
    <col min="15629" max="15629" width="15.6640625" bestFit="1" customWidth="1"/>
    <col min="15630" max="15630" width="14.6640625" bestFit="1" customWidth="1"/>
    <col min="15631" max="15632" width="13.6640625" bestFit="1" customWidth="1"/>
    <col min="15633" max="15633" width="12.6640625" bestFit="1" customWidth="1"/>
    <col min="15862" max="15862" width="14.5" customWidth="1"/>
    <col min="15863" max="15863" width="8" customWidth="1"/>
    <col min="15864" max="15879" width="15.1640625" customWidth="1"/>
    <col min="15884" max="15884" width="12.83203125" bestFit="1" customWidth="1"/>
    <col min="15885" max="15885" width="15.6640625" bestFit="1" customWidth="1"/>
    <col min="15886" max="15886" width="14.6640625" bestFit="1" customWidth="1"/>
    <col min="15887" max="15888" width="13.6640625" bestFit="1" customWidth="1"/>
    <col min="15889" max="15889" width="12.6640625" bestFit="1" customWidth="1"/>
    <col min="16118" max="16118" width="14.5" customWidth="1"/>
    <col min="16119" max="16119" width="8" customWidth="1"/>
    <col min="16120" max="16135" width="15.1640625" customWidth="1"/>
    <col min="16140" max="16140" width="12.83203125" bestFit="1" customWidth="1"/>
    <col min="16141" max="16141" width="15.6640625" bestFit="1" customWidth="1"/>
    <col min="16142" max="16142" width="14.6640625" bestFit="1" customWidth="1"/>
    <col min="16143" max="16144" width="13.6640625" bestFit="1" customWidth="1"/>
    <col min="16145" max="16145" width="12.6640625" bestFit="1" customWidth="1"/>
  </cols>
  <sheetData>
    <row r="1" spans="1:30" ht="51">
      <c r="A1" s="1" t="str">
        <f>"Giorno"</f>
        <v>Giorno</v>
      </c>
      <c r="B1" s="1" t="str">
        <f>"Ora"</f>
        <v>Ora</v>
      </c>
      <c r="C1" s="8" t="s">
        <v>3</v>
      </c>
      <c r="D1" s="8" t="s">
        <v>4</v>
      </c>
      <c r="E1" s="8" t="s">
        <v>5</v>
      </c>
      <c r="F1" s="8" t="s">
        <v>6</v>
      </c>
      <c r="G1" s="8" t="s">
        <v>7</v>
      </c>
      <c r="H1" s="8" t="s">
        <v>8</v>
      </c>
      <c r="I1" s="8" t="s">
        <v>9</v>
      </c>
      <c r="J1" s="8" t="s">
        <v>10</v>
      </c>
      <c r="K1" s="8" t="s">
        <v>11</v>
      </c>
      <c r="L1" s="8" t="s">
        <v>12</v>
      </c>
      <c r="M1" s="8" t="s">
        <v>13</v>
      </c>
      <c r="N1" s="8" t="s">
        <v>14</v>
      </c>
      <c r="O1" s="8" t="s">
        <v>15</v>
      </c>
      <c r="P1" s="8" t="s">
        <v>16</v>
      </c>
      <c r="Q1" s="8" t="s">
        <v>17</v>
      </c>
      <c r="R1" s="8" t="s">
        <v>18</v>
      </c>
      <c r="X1" s="9"/>
      <c r="Y1" s="9"/>
      <c r="Z1" s="9"/>
      <c r="AA1" s="9"/>
      <c r="AB1" s="9"/>
      <c r="AC1" s="9"/>
      <c r="AD1" s="9"/>
    </row>
    <row r="2" spans="1:30" ht="17">
      <c r="A2" s="1" t="str">
        <f t="shared" ref="A2:A25" si="0">"2020/05/05"</f>
        <v>2020/05/05</v>
      </c>
      <c r="B2" s="1" t="str">
        <f>"01:00"</f>
        <v>01:00</v>
      </c>
      <c r="C2" s="2">
        <f>111.9</f>
        <v>111.9</v>
      </c>
      <c r="D2" s="2">
        <f>197</f>
        <v>197</v>
      </c>
      <c r="E2" s="2">
        <f>0</f>
        <v>0</v>
      </c>
      <c r="F2" s="2">
        <f>0</f>
        <v>0</v>
      </c>
      <c r="G2" s="2">
        <f>1016.762</f>
        <v>1016.7619999999999</v>
      </c>
      <c r="H2" s="2">
        <f>1018.80695</f>
        <v>1018.80695</v>
      </c>
      <c r="I2" s="2">
        <f>252.50856</f>
        <v>252.50855999999999</v>
      </c>
      <c r="J2" s="2">
        <f>0</f>
        <v>0</v>
      </c>
      <c r="K2" s="2">
        <f>18.173038</f>
        <v>18.173037999999998</v>
      </c>
      <c r="L2" s="2">
        <f>15.675007</f>
        <v>15.675007000000001</v>
      </c>
      <c r="M2" s="2">
        <f>58.909744</f>
        <v>58.909744000000003</v>
      </c>
      <c r="N2" s="2">
        <f>46.84667</f>
        <v>46.846670000000003</v>
      </c>
      <c r="O2" s="2">
        <f>1.4149057</f>
        <v>1.4149057</v>
      </c>
      <c r="P2" s="2">
        <f t="shared" ref="P2:P8" si="1">0</f>
        <v>0</v>
      </c>
      <c r="Q2" s="2">
        <f>1.681283</f>
        <v>1.6812830000000001</v>
      </c>
      <c r="R2" s="2">
        <f>1.2981073</f>
        <v>1.2981073000000001</v>
      </c>
      <c r="X2" s="10"/>
      <c r="Y2" s="11"/>
      <c r="Z2" s="11"/>
      <c r="AA2" s="11"/>
      <c r="AB2" s="11"/>
      <c r="AC2" s="11"/>
      <c r="AD2" s="11"/>
    </row>
    <row r="3" spans="1:30" ht="17">
      <c r="A3" s="1" t="str">
        <f t="shared" si="0"/>
        <v>2020/05/05</v>
      </c>
      <c r="B3" s="1" t="str">
        <f>"02:00"</f>
        <v>02:00</v>
      </c>
      <c r="C3" s="2"/>
      <c r="D3" s="2">
        <f>280</f>
        <v>280</v>
      </c>
      <c r="E3" s="2"/>
      <c r="F3" s="2">
        <f t="shared" ref="F3:F45" si="2">0</f>
        <v>0</v>
      </c>
      <c r="G3" s="2"/>
      <c r="H3" s="2">
        <f>1018.72784</f>
        <v>1018.72784</v>
      </c>
      <c r="I3" s="2"/>
      <c r="J3" s="2">
        <f>0</f>
        <v>0</v>
      </c>
      <c r="K3" s="2"/>
      <c r="L3" s="2">
        <f>15.238772</f>
        <v>15.238772000000001</v>
      </c>
      <c r="M3" s="2"/>
      <c r="N3" s="2">
        <f>54.113335</f>
        <v>54.113334999999999</v>
      </c>
      <c r="O3" s="2"/>
      <c r="P3" s="2">
        <f t="shared" si="1"/>
        <v>0</v>
      </c>
      <c r="Q3" s="2"/>
      <c r="R3" s="2">
        <f>0.65897065</f>
        <v>0.65897064999999999</v>
      </c>
      <c r="X3" s="10"/>
      <c r="Y3" s="11"/>
      <c r="Z3" s="11"/>
      <c r="AA3" s="11"/>
      <c r="AB3" s="11"/>
      <c r="AC3" s="11"/>
      <c r="AD3" s="11"/>
    </row>
    <row r="4" spans="1:30" ht="17">
      <c r="A4" s="1" t="str">
        <f t="shared" si="0"/>
        <v>2020/05/05</v>
      </c>
      <c r="B4" s="1" t="str">
        <f>"03:00"</f>
        <v>03:00</v>
      </c>
      <c r="C4" s="2"/>
      <c r="D4" s="2">
        <f>259</f>
        <v>259</v>
      </c>
      <c r="E4" s="2"/>
      <c r="F4" s="2">
        <f t="shared" si="2"/>
        <v>0</v>
      </c>
      <c r="G4" s="2"/>
      <c r="H4" s="2">
        <f>1018.48694</f>
        <v>1018.48694</v>
      </c>
      <c r="I4" s="2"/>
      <c r="J4" s="2">
        <f>0</f>
        <v>0</v>
      </c>
      <c r="K4" s="2"/>
      <c r="L4" s="2">
        <f>13.979492</f>
        <v>13.979492</v>
      </c>
      <c r="M4" s="2"/>
      <c r="N4" s="2">
        <f>56.398056</f>
        <v>56.398055999999997</v>
      </c>
      <c r="O4" s="2"/>
      <c r="P4" s="2">
        <f t="shared" si="1"/>
        <v>0</v>
      </c>
      <c r="Q4" s="2"/>
      <c r="R4" s="2">
        <f>0.40775314</f>
        <v>0.40775314000000001</v>
      </c>
      <c r="X4" s="12"/>
      <c r="Y4" s="13"/>
      <c r="Z4" s="13"/>
      <c r="AA4" s="13"/>
      <c r="AB4" s="13"/>
      <c r="AC4" s="13"/>
      <c r="AD4" s="13"/>
    </row>
    <row r="5" spans="1:30" ht="17">
      <c r="A5" s="1" t="str">
        <f t="shared" si="0"/>
        <v>2020/05/05</v>
      </c>
      <c r="B5" s="1" t="str">
        <f>"04:00"</f>
        <v>04:00</v>
      </c>
      <c r="C5" s="2"/>
      <c r="D5" s="7" t="s">
        <v>22</v>
      </c>
      <c r="E5" s="2"/>
      <c r="F5" s="2">
        <f t="shared" si="2"/>
        <v>0</v>
      </c>
      <c r="G5" s="2"/>
      <c r="H5" s="2">
        <f>1018.3017</f>
        <v>1018.3017</v>
      </c>
      <c r="I5" s="2"/>
      <c r="J5" s="2">
        <f>0</f>
        <v>0</v>
      </c>
      <c r="K5" s="2"/>
      <c r="L5" s="2">
        <f>13.57503</f>
        <v>13.57503</v>
      </c>
      <c r="M5" s="2"/>
      <c r="N5" s="2">
        <f>56.704166</f>
        <v>56.704166000000001</v>
      </c>
      <c r="O5" s="2"/>
      <c r="P5" s="2">
        <f t="shared" si="1"/>
        <v>0</v>
      </c>
      <c r="Q5" s="2"/>
      <c r="R5" s="7" t="s">
        <v>22</v>
      </c>
      <c r="X5" s="12"/>
      <c r="Y5" s="13"/>
      <c r="Z5" s="13"/>
      <c r="AA5" s="13"/>
      <c r="AB5" s="13"/>
      <c r="AC5" s="13"/>
      <c r="AD5" s="13"/>
    </row>
    <row r="6" spans="1:30" ht="17">
      <c r="A6" s="1" t="str">
        <f t="shared" si="0"/>
        <v>2020/05/05</v>
      </c>
      <c r="B6" s="1" t="str">
        <f>"05:00"</f>
        <v>05:00</v>
      </c>
      <c r="C6" s="2"/>
      <c r="D6" s="7" t="s">
        <v>22</v>
      </c>
      <c r="E6" s="2"/>
      <c r="F6" s="2">
        <f t="shared" si="2"/>
        <v>0</v>
      </c>
      <c r="G6" s="2"/>
      <c r="H6" s="2">
        <f>1017.9724</f>
        <v>1017.9724</v>
      </c>
      <c r="I6" s="2"/>
      <c r="J6" s="2">
        <f>0</f>
        <v>0</v>
      </c>
      <c r="K6" s="2"/>
      <c r="L6" s="2">
        <f>13.911527</f>
        <v>13.911527</v>
      </c>
      <c r="M6" s="2"/>
      <c r="N6" s="2">
        <f>51.533333</f>
        <v>51.533332999999999</v>
      </c>
      <c r="O6" s="2"/>
      <c r="P6" s="2">
        <f t="shared" si="1"/>
        <v>0</v>
      </c>
      <c r="Q6" s="2"/>
      <c r="R6" s="7" t="s">
        <v>22</v>
      </c>
      <c r="X6" s="12"/>
      <c r="Y6" s="13"/>
      <c r="Z6" s="13"/>
      <c r="AA6" s="13"/>
      <c r="AB6" s="13"/>
      <c r="AC6" s="13"/>
      <c r="AD6" s="13"/>
    </row>
    <row r="7" spans="1:30" ht="17">
      <c r="A7" s="1" t="str">
        <f t="shared" si="0"/>
        <v>2020/05/05</v>
      </c>
      <c r="B7" s="1" t="str">
        <f>"06:00"</f>
        <v>06:00</v>
      </c>
      <c r="C7" s="2"/>
      <c r="D7" s="2">
        <f>80</f>
        <v>80</v>
      </c>
      <c r="E7" s="2"/>
      <c r="F7" s="2">
        <f t="shared" si="2"/>
        <v>0</v>
      </c>
      <c r="G7" s="2"/>
      <c r="H7" s="2">
        <f>1017.7975</f>
        <v>1017.7975</v>
      </c>
      <c r="I7" s="2"/>
      <c r="J7" s="2">
        <f>1.1541667</f>
        <v>1.1541667</v>
      </c>
      <c r="K7" s="2"/>
      <c r="L7" s="2">
        <f>14.128295</f>
        <v>14.128295</v>
      </c>
      <c r="M7" s="2"/>
      <c r="N7" s="2">
        <f>48.827778</f>
        <v>48.827778000000002</v>
      </c>
      <c r="O7" s="2"/>
      <c r="P7" s="2">
        <f t="shared" si="1"/>
        <v>0</v>
      </c>
      <c r="Q7" s="2"/>
      <c r="R7" s="2">
        <f>0.34147894</f>
        <v>0.34147894000000001</v>
      </c>
      <c r="X7" s="12"/>
      <c r="Y7" s="13"/>
      <c r="Z7" s="13"/>
      <c r="AA7" s="13"/>
      <c r="AB7" s="13"/>
      <c r="AC7" s="13"/>
      <c r="AD7" s="13"/>
    </row>
    <row r="8" spans="1:30" ht="17">
      <c r="A8" s="1" t="str">
        <f t="shared" si="0"/>
        <v>2020/05/05</v>
      </c>
      <c r="B8" s="1" t="str">
        <f>"07:00"</f>
        <v>07:00</v>
      </c>
      <c r="C8" s="2"/>
      <c r="D8" s="2">
        <f>85</f>
        <v>85</v>
      </c>
      <c r="E8" s="2"/>
      <c r="F8" s="2">
        <f t="shared" si="2"/>
        <v>0</v>
      </c>
      <c r="G8" s="2"/>
      <c r="H8" s="2">
        <f>1017.83264</f>
        <v>1017.83264</v>
      </c>
      <c r="I8" s="2"/>
      <c r="J8" s="2">
        <f>27.000834</f>
        <v>27.000834000000001</v>
      </c>
      <c r="K8" s="2"/>
      <c r="L8" s="2">
        <f>14.098961</f>
        <v>14.098960999999999</v>
      </c>
      <c r="M8" s="2"/>
      <c r="N8" s="2">
        <f>48.81333</f>
        <v>48.813330000000001</v>
      </c>
      <c r="O8" s="2"/>
      <c r="P8" s="2">
        <f t="shared" si="1"/>
        <v>0</v>
      </c>
      <c r="Q8" s="2"/>
      <c r="R8" s="2">
        <f>0.44164842</f>
        <v>0.44164841999999999</v>
      </c>
      <c r="X8" s="12"/>
      <c r="Y8" s="13"/>
      <c r="Z8" s="13"/>
      <c r="AA8" s="13"/>
      <c r="AB8" s="13"/>
      <c r="AC8" s="13"/>
      <c r="AD8" s="13"/>
    </row>
    <row r="9" spans="1:30" ht="17">
      <c r="A9" s="1" t="str">
        <f t="shared" si="0"/>
        <v>2020/05/05</v>
      </c>
      <c r="B9" s="1" t="str">
        <f>"08:00"</f>
        <v>08:00</v>
      </c>
      <c r="C9" s="2"/>
      <c r="D9" s="7" t="s">
        <v>22</v>
      </c>
      <c r="E9" s="2"/>
      <c r="F9" s="2">
        <f t="shared" si="2"/>
        <v>0</v>
      </c>
      <c r="G9" s="2"/>
      <c r="H9" s="2">
        <f>1018.0899</f>
        <v>1018.0898999999999</v>
      </c>
      <c r="I9" s="2"/>
      <c r="J9" s="2">
        <f>180.28917</f>
        <v>180.28917000000001</v>
      </c>
      <c r="K9" s="2"/>
      <c r="L9" s="2">
        <f>16.031399</f>
        <v>16.031399</v>
      </c>
      <c r="M9" s="2"/>
      <c r="N9" s="2">
        <f>47.482777</f>
        <v>47.482776999999999</v>
      </c>
      <c r="O9" s="2"/>
      <c r="P9" s="2">
        <f>0.50947285</f>
        <v>0.50947284999999998</v>
      </c>
      <c r="Q9" s="2"/>
      <c r="R9" s="7" t="s">
        <v>22</v>
      </c>
      <c r="X9" s="12"/>
      <c r="Y9" s="13"/>
      <c r="Z9" s="13"/>
      <c r="AA9" s="13"/>
      <c r="AB9" s="13"/>
      <c r="AC9" s="13"/>
      <c r="AD9" s="13"/>
    </row>
    <row r="10" spans="1:30" ht="17">
      <c r="A10" s="1" t="str">
        <f t="shared" si="0"/>
        <v>2020/05/05</v>
      </c>
      <c r="B10" s="1" t="str">
        <f>"09:00"</f>
        <v>09:00</v>
      </c>
      <c r="C10" s="2"/>
      <c r="D10" s="2">
        <f>75</f>
        <v>75</v>
      </c>
      <c r="E10" s="2"/>
      <c r="F10" s="2">
        <f t="shared" si="2"/>
        <v>0</v>
      </c>
      <c r="G10" s="2"/>
      <c r="H10" s="2">
        <f>1018.06714</f>
        <v>1018.06714</v>
      </c>
      <c r="I10" s="2"/>
      <c r="J10" s="2">
        <f>125.25</f>
        <v>125.25</v>
      </c>
      <c r="K10" s="2"/>
      <c r="L10" s="2">
        <f>17.726984</f>
        <v>17.726984000000002</v>
      </c>
      <c r="M10" s="2"/>
      <c r="N10" s="2">
        <f>55.81972</f>
        <v>55.819719999999997</v>
      </c>
      <c r="O10" s="2"/>
      <c r="P10" s="2">
        <f>0.8454753</f>
        <v>0.84547530000000004</v>
      </c>
      <c r="Q10" s="2"/>
      <c r="R10" s="2">
        <f>1.2703367</f>
        <v>1.2703367000000001</v>
      </c>
      <c r="X10" s="12"/>
      <c r="Y10" s="13"/>
      <c r="Z10" s="13"/>
      <c r="AA10" s="13"/>
      <c r="AB10" s="13"/>
      <c r="AC10" s="13"/>
      <c r="AD10" s="13"/>
    </row>
    <row r="11" spans="1:30" ht="17">
      <c r="A11" s="1" t="str">
        <f t="shared" si="0"/>
        <v>2020/05/05</v>
      </c>
      <c r="B11" s="1" t="str">
        <f>"10:00"</f>
        <v>10:00</v>
      </c>
      <c r="C11" s="2"/>
      <c r="D11" s="2">
        <f>77</f>
        <v>77</v>
      </c>
      <c r="E11" s="2"/>
      <c r="F11" s="2">
        <f t="shared" si="2"/>
        <v>0</v>
      </c>
      <c r="G11" s="2"/>
      <c r="H11" s="2">
        <f>1017.7532</f>
        <v>1017.7532</v>
      </c>
      <c r="I11" s="2"/>
      <c r="J11" s="2">
        <f>320.665</f>
        <v>320.66500000000002</v>
      </c>
      <c r="K11" s="2"/>
      <c r="L11" s="2">
        <f>18.701805</f>
        <v>18.701805</v>
      </c>
      <c r="M11" s="2"/>
      <c r="N11" s="2">
        <f>60.930832</f>
        <v>60.930832000000002</v>
      </c>
      <c r="O11" s="2"/>
      <c r="P11" s="2">
        <f>1.6879194</f>
        <v>1.6879194</v>
      </c>
      <c r="Q11" s="2"/>
      <c r="R11" s="2">
        <f>2.1160324</f>
        <v>2.1160323999999999</v>
      </c>
      <c r="X11" s="12"/>
      <c r="Y11" s="13"/>
      <c r="Z11" s="13"/>
      <c r="AA11" s="13"/>
      <c r="AB11" s="13"/>
      <c r="AC11" s="13"/>
      <c r="AD11" s="13"/>
    </row>
    <row r="12" spans="1:30" ht="17">
      <c r="A12" s="1" t="str">
        <f t="shared" si="0"/>
        <v>2020/05/05</v>
      </c>
      <c r="B12" s="1" t="str">
        <f>"11:00"</f>
        <v>11:00</v>
      </c>
      <c r="C12" s="2"/>
      <c r="D12" s="2">
        <f>80</f>
        <v>80</v>
      </c>
      <c r="E12" s="2"/>
      <c r="F12" s="2">
        <f t="shared" si="2"/>
        <v>0</v>
      </c>
      <c r="G12" s="2"/>
      <c r="H12" s="2">
        <f>1017.5175</f>
        <v>1017.5175</v>
      </c>
      <c r="I12" s="2"/>
      <c r="J12" s="2">
        <f>706.5597</f>
        <v>706.55970000000002</v>
      </c>
      <c r="K12" s="2"/>
      <c r="L12" s="2">
        <f>20.026447</f>
        <v>20.026447000000001</v>
      </c>
      <c r="M12" s="2"/>
      <c r="N12" s="2">
        <f>59.996387</f>
        <v>59.996386999999999</v>
      </c>
      <c r="O12" s="2"/>
      <c r="P12" s="2">
        <f>3.4964023</f>
        <v>3.4964023000000002</v>
      </c>
      <c r="Q12" s="2"/>
      <c r="R12" s="2">
        <f>1.7640146</f>
        <v>1.7640146000000001</v>
      </c>
      <c r="X12" s="12"/>
      <c r="Y12" s="13"/>
      <c r="Z12" s="13"/>
      <c r="AA12" s="13"/>
      <c r="AB12" s="13"/>
      <c r="AC12" s="13"/>
      <c r="AD12" s="13"/>
    </row>
    <row r="13" spans="1:30" ht="17">
      <c r="A13" s="1" t="str">
        <f t="shared" si="0"/>
        <v>2020/05/05</v>
      </c>
      <c r="B13" s="1" t="str">
        <f>"12:00"</f>
        <v>12:00</v>
      </c>
      <c r="C13" s="2"/>
      <c r="D13" s="2">
        <f>86</f>
        <v>86</v>
      </c>
      <c r="E13" s="2"/>
      <c r="F13" s="2">
        <f t="shared" si="2"/>
        <v>0</v>
      </c>
      <c r="G13" s="2"/>
      <c r="H13" s="2">
        <f>1017.5049</f>
        <v>1017.5049</v>
      </c>
      <c r="I13" s="2"/>
      <c r="J13" s="2">
        <f>807.13696</f>
        <v>807.13696000000004</v>
      </c>
      <c r="K13" s="2"/>
      <c r="L13" s="2">
        <f>20.563667</f>
        <v>20.563666999999999</v>
      </c>
      <c r="M13" s="2"/>
      <c r="N13" s="2">
        <f>61.15389</f>
        <v>61.153889999999997</v>
      </c>
      <c r="O13" s="2"/>
      <c r="P13" s="2">
        <f>5.106544</f>
        <v>5.1065440000000004</v>
      </c>
      <c r="Q13" s="2"/>
      <c r="R13" s="2">
        <f>1.6764162</f>
        <v>1.6764162</v>
      </c>
      <c r="X13" s="12"/>
      <c r="Y13" s="13"/>
      <c r="Z13" s="13"/>
      <c r="AA13" s="13"/>
      <c r="AB13" s="13"/>
      <c r="AC13" s="13"/>
      <c r="AD13" s="13"/>
    </row>
    <row r="14" spans="1:30" ht="17">
      <c r="A14" s="1" t="str">
        <f t="shared" si="0"/>
        <v>2020/05/05</v>
      </c>
      <c r="B14" s="1" t="str">
        <f>"13:00"</f>
        <v>13:00</v>
      </c>
      <c r="C14" s="2"/>
      <c r="D14" s="2">
        <f>80</f>
        <v>80</v>
      </c>
      <c r="E14" s="2"/>
      <c r="F14" s="2">
        <f t="shared" si="2"/>
        <v>0</v>
      </c>
      <c r="G14" s="2"/>
      <c r="H14" s="2">
        <f>1017.1281</f>
        <v>1017.1281</v>
      </c>
      <c r="I14" s="2"/>
      <c r="J14" s="2">
        <f>856.43414</f>
        <v>856.43413999999996</v>
      </c>
      <c r="K14" s="2"/>
      <c r="L14" s="2">
        <f>20.229256</f>
        <v>20.229255999999999</v>
      </c>
      <c r="M14" s="2"/>
      <c r="N14" s="2">
        <f>63.800835</f>
        <v>63.800834999999999</v>
      </c>
      <c r="O14" s="2"/>
      <c r="P14" s="2">
        <f>5.730112</f>
        <v>5.7301120000000001</v>
      </c>
      <c r="Q14" s="2"/>
      <c r="R14" s="2">
        <f>2.6982105</f>
        <v>2.6982105000000001</v>
      </c>
      <c r="X14" s="12"/>
      <c r="Y14" s="13"/>
      <c r="Z14" s="13"/>
      <c r="AA14" s="13"/>
      <c r="AB14" s="13"/>
      <c r="AC14" s="13"/>
      <c r="AD14" s="13"/>
    </row>
    <row r="15" spans="1:30" ht="17">
      <c r="A15" s="1" t="str">
        <f t="shared" si="0"/>
        <v>2020/05/05</v>
      </c>
      <c r="B15" s="1" t="str">
        <f>"14:00"</f>
        <v>14:00</v>
      </c>
      <c r="C15" s="2"/>
      <c r="D15" s="2">
        <f>80</f>
        <v>80</v>
      </c>
      <c r="E15" s="2"/>
      <c r="F15" s="2">
        <f t="shared" si="2"/>
        <v>0</v>
      </c>
      <c r="G15" s="2"/>
      <c r="H15" s="2">
        <f>1016.9257</f>
        <v>1016.9257</v>
      </c>
      <c r="I15" s="2"/>
      <c r="J15" s="2">
        <f>842.2305</f>
        <v>842.23050000000001</v>
      </c>
      <c r="K15" s="2"/>
      <c r="L15" s="2">
        <f>20.149601</f>
        <v>20.149601000000001</v>
      </c>
      <c r="M15" s="2"/>
      <c r="N15" s="2">
        <f>63.94528</f>
        <v>63.945279999999997</v>
      </c>
      <c r="O15" s="2"/>
      <c r="P15" s="2">
        <f>5.5585413</f>
        <v>5.5585412999999999</v>
      </c>
      <c r="Q15" s="2"/>
      <c r="R15" s="2">
        <f>2.871958</f>
        <v>2.8719579999999998</v>
      </c>
      <c r="X15" s="12"/>
      <c r="Y15" s="13"/>
      <c r="Z15" s="13"/>
      <c r="AA15" s="13"/>
      <c r="AB15" s="13"/>
      <c r="AC15" s="13"/>
      <c r="AD15" s="13"/>
    </row>
    <row r="16" spans="1:30" ht="17">
      <c r="A16" s="1" t="str">
        <f t="shared" si="0"/>
        <v>2020/05/05</v>
      </c>
      <c r="B16" s="1" t="str">
        <f>"15:00"</f>
        <v>15:00</v>
      </c>
      <c r="C16" s="2"/>
      <c r="D16" s="2">
        <f>80</f>
        <v>80</v>
      </c>
      <c r="E16" s="2"/>
      <c r="F16" s="2">
        <f t="shared" si="2"/>
        <v>0</v>
      </c>
      <c r="G16" s="2"/>
      <c r="H16" s="2">
        <f>1016.4083</f>
        <v>1016.4083000000001</v>
      </c>
      <c r="I16" s="2"/>
      <c r="J16" s="2">
        <f>715.98834</f>
        <v>715.98833999999999</v>
      </c>
      <c r="K16" s="2"/>
      <c r="L16" s="2">
        <f>20.313234</f>
        <v>20.313234000000001</v>
      </c>
      <c r="M16" s="2"/>
      <c r="N16" s="2">
        <f>61.770557</f>
        <v>61.770556999999997</v>
      </c>
      <c r="O16" s="2"/>
      <c r="P16" s="2">
        <f>4.448127</f>
        <v>4.4481270000000004</v>
      </c>
      <c r="Q16" s="2"/>
      <c r="R16" s="2">
        <f>3.2669713</f>
        <v>3.2669712999999998</v>
      </c>
      <c r="X16" s="12"/>
      <c r="Y16" s="13"/>
      <c r="Z16" s="13"/>
      <c r="AA16" s="13"/>
      <c r="AB16" s="13"/>
      <c r="AC16" s="13"/>
      <c r="AD16" s="13"/>
    </row>
    <row r="17" spans="1:30" ht="17">
      <c r="A17" s="1" t="str">
        <f t="shared" si="0"/>
        <v>2020/05/05</v>
      </c>
      <c r="B17" s="1" t="str">
        <f>"16:00"</f>
        <v>16:00</v>
      </c>
      <c r="C17" s="2"/>
      <c r="D17" s="2">
        <f>82</f>
        <v>82</v>
      </c>
      <c r="E17" s="2"/>
      <c r="F17" s="2">
        <f t="shared" si="2"/>
        <v>0</v>
      </c>
      <c r="G17" s="2"/>
      <c r="H17" s="2">
        <f>1015.90485</f>
        <v>1015.90485</v>
      </c>
      <c r="I17" s="2"/>
      <c r="J17" s="2">
        <f>625.50586</f>
        <v>625.50585999999998</v>
      </c>
      <c r="K17" s="2"/>
      <c r="L17" s="2">
        <f>20.55322</f>
        <v>20.55322</v>
      </c>
      <c r="M17" s="2"/>
      <c r="N17" s="2">
        <f>59.308613</f>
        <v>59.308613000000001</v>
      </c>
      <c r="O17" s="2"/>
      <c r="P17" s="2">
        <f>3.3693452</f>
        <v>3.3693452000000002</v>
      </c>
      <c r="Q17" s="2"/>
      <c r="R17" s="2">
        <f>2.6058142</f>
        <v>2.6058142000000002</v>
      </c>
      <c r="X17" s="12"/>
      <c r="Y17" s="13"/>
      <c r="Z17" s="13"/>
      <c r="AA17" s="13"/>
      <c r="AB17" s="13"/>
      <c r="AC17" s="13"/>
      <c r="AD17" s="13"/>
    </row>
    <row r="18" spans="1:30" ht="17">
      <c r="A18" s="1" t="str">
        <f t="shared" si="0"/>
        <v>2020/05/05</v>
      </c>
      <c r="B18" s="1" t="str">
        <f>"17:00"</f>
        <v>17:00</v>
      </c>
      <c r="C18" s="2"/>
      <c r="D18" s="2">
        <f>82</f>
        <v>82</v>
      </c>
      <c r="E18" s="2"/>
      <c r="F18" s="2">
        <f t="shared" si="2"/>
        <v>0</v>
      </c>
      <c r="G18" s="2"/>
      <c r="H18" s="2">
        <f>1015.4753</f>
        <v>1015.4752999999999</v>
      </c>
      <c r="I18" s="2"/>
      <c r="J18" s="2">
        <f>420.36417</f>
        <v>420.36417</v>
      </c>
      <c r="K18" s="2"/>
      <c r="L18" s="2">
        <f>20.313976</f>
        <v>20.313976</v>
      </c>
      <c r="M18" s="2"/>
      <c r="N18" s="2">
        <f>64.0575</f>
        <v>64.057500000000005</v>
      </c>
      <c r="O18" s="2"/>
      <c r="P18" s="2">
        <f>1.9162725</f>
        <v>1.9162725</v>
      </c>
      <c r="Q18" s="2"/>
      <c r="R18" s="2">
        <f>2.1973774</f>
        <v>2.1973774000000001</v>
      </c>
      <c r="X18" s="12"/>
      <c r="Y18" s="13"/>
      <c r="Z18" s="13"/>
      <c r="AA18" s="13"/>
      <c r="AB18" s="13"/>
      <c r="AC18" s="13"/>
      <c r="AD18" s="13"/>
    </row>
    <row r="19" spans="1:30" ht="17">
      <c r="A19" s="1" t="str">
        <f t="shared" si="0"/>
        <v>2020/05/05</v>
      </c>
      <c r="B19" s="1" t="str">
        <f>"18:00"</f>
        <v>18:00</v>
      </c>
      <c r="C19" s="2"/>
      <c r="D19" s="2">
        <f>79</f>
        <v>79</v>
      </c>
      <c r="E19" s="2"/>
      <c r="F19" s="2">
        <f t="shared" si="2"/>
        <v>0</v>
      </c>
      <c r="G19" s="2"/>
      <c r="H19" s="2">
        <f>1014.91364</f>
        <v>1014.91364</v>
      </c>
      <c r="I19" s="2"/>
      <c r="J19" s="2">
        <f>248.0089</f>
        <v>248.00890000000001</v>
      </c>
      <c r="K19" s="2"/>
      <c r="L19" s="2">
        <f>19.769001</f>
        <v>19.769000999999999</v>
      </c>
      <c r="M19" s="2"/>
      <c r="N19" s="2">
        <f>69.75271</f>
        <v>69.752709999999993</v>
      </c>
      <c r="O19" s="2"/>
      <c r="P19" s="2">
        <f>0.99355257</f>
        <v>0.99355256999999997</v>
      </c>
      <c r="Q19" s="2"/>
      <c r="R19" s="2">
        <f>3.2231448</f>
        <v>3.2231448</v>
      </c>
      <c r="X19" s="14"/>
      <c r="Y19" s="13"/>
      <c r="Z19" s="14"/>
      <c r="AA19" s="14"/>
      <c r="AB19" s="14"/>
      <c r="AC19" s="14"/>
      <c r="AD19" s="14"/>
    </row>
    <row r="20" spans="1:30" ht="17">
      <c r="A20" s="1" t="str">
        <f t="shared" si="0"/>
        <v>2020/05/05</v>
      </c>
      <c r="B20" s="1" t="str">
        <f>"19:00"</f>
        <v>19:00</v>
      </c>
      <c r="C20" s="2"/>
      <c r="D20" s="2">
        <f>76</f>
        <v>76</v>
      </c>
      <c r="E20" s="2"/>
      <c r="F20" s="2">
        <f t="shared" si="2"/>
        <v>0</v>
      </c>
      <c r="G20" s="2"/>
      <c r="H20" s="2">
        <f>1014.5534</f>
        <v>1014.5534</v>
      </c>
      <c r="I20" s="2"/>
      <c r="J20" s="2">
        <f>153.55083</f>
        <v>153.55082999999999</v>
      </c>
      <c r="K20" s="2"/>
      <c r="L20" s="2">
        <f>19.619265</f>
        <v>19.619264999999999</v>
      </c>
      <c r="M20" s="2"/>
      <c r="N20" s="2">
        <f>75.43139</f>
        <v>75.431389999999993</v>
      </c>
      <c r="O20" s="2"/>
      <c r="P20" s="2">
        <f>0.29597065</f>
        <v>0.29597065</v>
      </c>
      <c r="Q20" s="2"/>
      <c r="R20" s="2">
        <f>3.0551276</f>
        <v>3.0551276000000001</v>
      </c>
      <c r="X20" s="14"/>
      <c r="Y20" s="13"/>
      <c r="Z20" s="14"/>
      <c r="AA20" s="14"/>
      <c r="AB20" s="14"/>
      <c r="AC20" s="14"/>
      <c r="AD20" s="14"/>
    </row>
    <row r="21" spans="1:30" ht="17">
      <c r="A21" s="1" t="str">
        <f t="shared" si="0"/>
        <v>2020/05/05</v>
      </c>
      <c r="B21" s="1" t="str">
        <f>"20:00"</f>
        <v>20:00</v>
      </c>
      <c r="C21" s="2"/>
      <c r="D21" s="2">
        <f>73</f>
        <v>73</v>
      </c>
      <c r="E21" s="2"/>
      <c r="F21" s="2">
        <f t="shared" si="2"/>
        <v>0</v>
      </c>
      <c r="G21" s="2"/>
      <c r="H21" s="2">
        <f>1014.5087</f>
        <v>1014.5087</v>
      </c>
      <c r="I21" s="2"/>
      <c r="J21" s="2">
        <f>30.066668</f>
        <v>30.066668</v>
      </c>
      <c r="K21" s="2"/>
      <c r="L21" s="2">
        <f>20.053028</f>
        <v>20.053028000000001</v>
      </c>
      <c r="M21" s="2"/>
      <c r="N21" s="2">
        <f>76.98944</f>
        <v>76.989440000000002</v>
      </c>
      <c r="O21" s="2"/>
      <c r="P21" s="2">
        <f t="shared" ref="P21:P32" si="3">0</f>
        <v>0</v>
      </c>
      <c r="Q21" s="2"/>
      <c r="R21" s="2">
        <f>1.1640244</f>
        <v>1.1640244</v>
      </c>
      <c r="X21" s="14"/>
      <c r="Y21" s="13"/>
      <c r="Z21" s="14"/>
      <c r="AA21" s="14"/>
      <c r="AB21" s="14"/>
      <c r="AC21" s="14"/>
      <c r="AD21" s="14"/>
    </row>
    <row r="22" spans="1:30" ht="17">
      <c r="A22" s="1" t="str">
        <f t="shared" si="0"/>
        <v>2020/05/05</v>
      </c>
      <c r="B22" s="1" t="str">
        <f>"21:00"</f>
        <v>21:00</v>
      </c>
      <c r="C22" s="2"/>
      <c r="D22" s="7" t="s">
        <v>22</v>
      </c>
      <c r="E22" s="2"/>
      <c r="F22" s="2">
        <f t="shared" si="2"/>
        <v>0</v>
      </c>
      <c r="G22" s="2"/>
      <c r="H22" s="2">
        <f>1014.8972</f>
        <v>1014.8972</v>
      </c>
      <c r="I22" s="2"/>
      <c r="J22" s="2">
        <f t="shared" ref="J22:J30" si="4">0</f>
        <v>0</v>
      </c>
      <c r="K22" s="2"/>
      <c r="L22" s="2">
        <f>20.506557</f>
        <v>20.506557000000001</v>
      </c>
      <c r="M22" s="2"/>
      <c r="N22" s="2">
        <f>72.345</f>
        <v>72.344999999999999</v>
      </c>
      <c r="O22" s="2"/>
      <c r="P22" s="2">
        <f t="shared" si="3"/>
        <v>0</v>
      </c>
      <c r="Q22" s="2"/>
      <c r="R22" s="7" t="s">
        <v>22</v>
      </c>
      <c r="X22" s="14"/>
      <c r="Y22" s="13"/>
      <c r="Z22" s="14"/>
      <c r="AA22" s="14"/>
      <c r="AB22" s="14"/>
      <c r="AC22" s="14"/>
      <c r="AD22" s="14"/>
    </row>
    <row r="23" spans="1:30" ht="17">
      <c r="A23" s="1" t="str">
        <f t="shared" si="0"/>
        <v>2020/05/05</v>
      </c>
      <c r="B23" s="1" t="str">
        <f>"22:00"</f>
        <v>22:00</v>
      </c>
      <c r="C23" s="2"/>
      <c r="D23" s="2">
        <f>82</f>
        <v>82</v>
      </c>
      <c r="E23" s="2"/>
      <c r="F23" s="2">
        <f t="shared" si="2"/>
        <v>0</v>
      </c>
      <c r="G23" s="2"/>
      <c r="H23" s="2">
        <f>1015.1892</f>
        <v>1015.1892</v>
      </c>
      <c r="I23" s="2"/>
      <c r="J23" s="2">
        <f t="shared" si="4"/>
        <v>0</v>
      </c>
      <c r="K23" s="2"/>
      <c r="L23" s="2">
        <f>21.025911</f>
        <v>21.025911000000001</v>
      </c>
      <c r="M23" s="2"/>
      <c r="N23" s="2">
        <f>53.14</f>
        <v>53.14</v>
      </c>
      <c r="O23" s="2"/>
      <c r="P23" s="2">
        <f t="shared" si="3"/>
        <v>0</v>
      </c>
      <c r="Q23" s="2"/>
      <c r="R23" s="2">
        <f>1.2879988</f>
        <v>1.2879988</v>
      </c>
    </row>
    <row r="24" spans="1:30" ht="17">
      <c r="A24" s="1" t="str">
        <f t="shared" si="0"/>
        <v>2020/05/05</v>
      </c>
      <c r="B24" s="1" t="str">
        <f>"23:00"</f>
        <v>23:00</v>
      </c>
      <c r="C24" s="2"/>
      <c r="D24" s="2">
        <f>86</f>
        <v>86</v>
      </c>
      <c r="E24" s="2"/>
      <c r="F24" s="2">
        <f t="shared" si="2"/>
        <v>0</v>
      </c>
      <c r="G24" s="2"/>
      <c r="H24" s="2">
        <f>1014.9192</f>
        <v>1014.9192</v>
      </c>
      <c r="I24" s="2"/>
      <c r="J24" s="2">
        <f t="shared" si="4"/>
        <v>0</v>
      </c>
      <c r="K24" s="2"/>
      <c r="L24" s="2">
        <f>20.308434</f>
        <v>20.308433999999998</v>
      </c>
      <c r="M24" s="2"/>
      <c r="N24" s="2">
        <f>51.55472</f>
        <v>51.554720000000003</v>
      </c>
      <c r="O24" s="2"/>
      <c r="P24" s="2">
        <f t="shared" si="3"/>
        <v>0</v>
      </c>
      <c r="Q24" s="2"/>
      <c r="R24" s="2">
        <f>1.0249771</f>
        <v>1.0249771000000001</v>
      </c>
    </row>
    <row r="25" spans="1:30" ht="17">
      <c r="A25" s="1" t="str">
        <f t="shared" si="0"/>
        <v>2020/05/05</v>
      </c>
      <c r="B25" s="1" t="str">
        <f>"24:00"</f>
        <v>24:00</v>
      </c>
      <c r="C25" s="2"/>
      <c r="D25" s="2">
        <f>219</f>
        <v>219</v>
      </c>
      <c r="E25" s="2"/>
      <c r="F25" s="2">
        <f t="shared" si="2"/>
        <v>0</v>
      </c>
      <c r="G25" s="2"/>
      <c r="H25" s="2">
        <f>1014.60657</f>
        <v>1014.60657</v>
      </c>
      <c r="I25" s="2"/>
      <c r="J25" s="2">
        <f t="shared" si="4"/>
        <v>0</v>
      </c>
      <c r="K25" s="2"/>
      <c r="L25" s="2">
        <f>19.654062</f>
        <v>19.654062</v>
      </c>
      <c r="M25" s="2"/>
      <c r="N25" s="2">
        <f>53.1175</f>
        <v>53.1175</v>
      </c>
      <c r="O25" s="2"/>
      <c r="P25" s="2">
        <f t="shared" si="3"/>
        <v>0</v>
      </c>
      <c r="Q25" s="2"/>
      <c r="R25" s="2">
        <f>0.25529632</f>
        <v>0.25529632000000002</v>
      </c>
    </row>
    <row r="26" spans="1:30" ht="17">
      <c r="A26" s="1" t="str">
        <f t="shared" ref="A26:A49" si="5">"2020/05/06"</f>
        <v>2020/05/06</v>
      </c>
      <c r="B26" s="1" t="str">
        <f>"01:00"</f>
        <v>01:00</v>
      </c>
      <c r="C26" s="2">
        <f>100.210526</f>
        <v>100.210526</v>
      </c>
      <c r="D26" s="7" t="s">
        <v>22</v>
      </c>
      <c r="E26" s="2">
        <f>1.4000001</f>
        <v>1.4000001</v>
      </c>
      <c r="F26" s="2">
        <f t="shared" si="2"/>
        <v>0</v>
      </c>
      <c r="G26" s="2">
        <f>1014.09186</f>
        <v>1014.09186</v>
      </c>
      <c r="H26" s="2">
        <f>1014.50604</f>
        <v>1014.50604</v>
      </c>
      <c r="I26" s="2">
        <f>184.90863</f>
        <v>184.90862999999999</v>
      </c>
      <c r="J26" s="2">
        <f t="shared" si="4"/>
        <v>0</v>
      </c>
      <c r="K26" s="2">
        <f>18.171003</f>
        <v>18.171002999999999</v>
      </c>
      <c r="L26" s="2">
        <f>18.943523</f>
        <v>18.943522999999999</v>
      </c>
      <c r="M26" s="2">
        <f>71.57359</f>
        <v>71.573589999999996</v>
      </c>
      <c r="N26" s="2">
        <f>57.22587</f>
        <v>57.22587</v>
      </c>
      <c r="O26" s="2">
        <f>1.1577394</f>
        <v>1.1577394000000001</v>
      </c>
      <c r="P26" s="2">
        <f t="shared" si="3"/>
        <v>0</v>
      </c>
      <c r="Q26" s="2">
        <f>2.311717</f>
        <v>2.3117169999999998</v>
      </c>
      <c r="R26" s="7" t="s">
        <v>22</v>
      </c>
    </row>
    <row r="27" spans="1:30" ht="17">
      <c r="A27" s="1" t="str">
        <f t="shared" si="5"/>
        <v>2020/05/06</v>
      </c>
      <c r="B27" s="1" t="str">
        <f>"02:00"</f>
        <v>02:00</v>
      </c>
      <c r="C27" s="2"/>
      <c r="D27" s="2">
        <f>87</f>
        <v>87</v>
      </c>
      <c r="E27" s="2"/>
      <c r="F27" s="2">
        <f t="shared" si="2"/>
        <v>0</v>
      </c>
      <c r="G27" s="2"/>
      <c r="H27" s="2">
        <f>1013.86194</f>
        <v>1013.86194</v>
      </c>
      <c r="I27" s="2"/>
      <c r="J27" s="2">
        <f t="shared" si="4"/>
        <v>0</v>
      </c>
      <c r="K27" s="2"/>
      <c r="L27" s="2">
        <f>18.900507</f>
        <v>18.900507000000001</v>
      </c>
      <c r="M27" s="2"/>
      <c r="N27" s="2">
        <f>55.783333</f>
        <v>55.783332999999999</v>
      </c>
      <c r="O27" s="2"/>
      <c r="P27" s="2">
        <f t="shared" si="3"/>
        <v>0</v>
      </c>
      <c r="Q27" s="2"/>
      <c r="R27" s="2">
        <f>0.9102331</f>
        <v>0.91023310000000002</v>
      </c>
    </row>
    <row r="28" spans="1:30" ht="17">
      <c r="A28" s="1" t="str">
        <f t="shared" si="5"/>
        <v>2020/05/06</v>
      </c>
      <c r="B28" s="1" t="str">
        <f>"03:00"</f>
        <v>03:00</v>
      </c>
      <c r="C28" s="2"/>
      <c r="D28" s="7" t="s">
        <v>22</v>
      </c>
      <c r="E28" s="2"/>
      <c r="F28" s="2">
        <f t="shared" si="2"/>
        <v>0</v>
      </c>
      <c r="G28" s="2"/>
      <c r="H28" s="2">
        <f>1013.3381</f>
        <v>1013.3381000000001</v>
      </c>
      <c r="I28" s="2"/>
      <c r="J28" s="2">
        <f t="shared" si="4"/>
        <v>0</v>
      </c>
      <c r="K28" s="2"/>
      <c r="L28" s="2">
        <f>18.80853</f>
        <v>18.808530000000001</v>
      </c>
      <c r="M28" s="2"/>
      <c r="N28" s="2">
        <f>61.772778</f>
        <v>61.772778000000002</v>
      </c>
      <c r="O28" s="2"/>
      <c r="P28" s="2">
        <f t="shared" si="3"/>
        <v>0</v>
      </c>
      <c r="Q28" s="2"/>
      <c r="R28" s="7" t="s">
        <v>22</v>
      </c>
    </row>
    <row r="29" spans="1:30" ht="17">
      <c r="A29" s="1" t="str">
        <f t="shared" si="5"/>
        <v>2020/05/06</v>
      </c>
      <c r="B29" s="1" t="str">
        <f>"04:00"</f>
        <v>04:00</v>
      </c>
      <c r="C29" s="2"/>
      <c r="D29" s="7" t="s">
        <v>22</v>
      </c>
      <c r="E29" s="2"/>
      <c r="F29" s="2">
        <f t="shared" si="2"/>
        <v>0</v>
      </c>
      <c r="G29" s="2"/>
      <c r="H29" s="2">
        <f>1013.0414</f>
        <v>1013.0414</v>
      </c>
      <c r="I29" s="2"/>
      <c r="J29" s="2">
        <f t="shared" si="4"/>
        <v>0</v>
      </c>
      <c r="K29" s="2"/>
      <c r="L29" s="2">
        <f>17.640926</f>
        <v>17.640926</v>
      </c>
      <c r="M29" s="2"/>
      <c r="N29" s="2">
        <f>73.4475</f>
        <v>73.447500000000005</v>
      </c>
      <c r="O29" s="2"/>
      <c r="P29" s="2">
        <f t="shared" si="3"/>
        <v>0</v>
      </c>
      <c r="Q29" s="2"/>
      <c r="R29" s="7" t="s">
        <v>22</v>
      </c>
    </row>
    <row r="30" spans="1:30" ht="17">
      <c r="A30" s="1" t="str">
        <f t="shared" si="5"/>
        <v>2020/05/06</v>
      </c>
      <c r="B30" s="1" t="str">
        <f>"05:00"</f>
        <v>05:00</v>
      </c>
      <c r="C30" s="2"/>
      <c r="D30" s="7" t="s">
        <v>22</v>
      </c>
      <c r="E30" s="2"/>
      <c r="F30" s="2">
        <f t="shared" si="2"/>
        <v>0</v>
      </c>
      <c r="G30" s="2"/>
      <c r="H30" s="2">
        <f>1012.7475</f>
        <v>1012.7474999999999</v>
      </c>
      <c r="I30" s="2"/>
      <c r="J30" s="2">
        <f t="shared" si="4"/>
        <v>0</v>
      </c>
      <c r="K30" s="2"/>
      <c r="L30" s="2">
        <f>17.000362</f>
        <v>17.000361999999999</v>
      </c>
      <c r="M30" s="2"/>
      <c r="N30" s="2">
        <f>74.07694</f>
        <v>74.076939999999993</v>
      </c>
      <c r="O30" s="2"/>
      <c r="P30" s="2">
        <f t="shared" si="3"/>
        <v>0</v>
      </c>
      <c r="Q30" s="2"/>
      <c r="R30" s="7" t="s">
        <v>22</v>
      </c>
    </row>
    <row r="31" spans="1:30" ht="17">
      <c r="A31" s="1" t="str">
        <f t="shared" si="5"/>
        <v>2020/05/06</v>
      </c>
      <c r="B31" s="1" t="str">
        <f>"06:00"</f>
        <v>06:00</v>
      </c>
      <c r="C31" s="2"/>
      <c r="D31" s="2">
        <f>124</f>
        <v>124</v>
      </c>
      <c r="E31" s="2"/>
      <c r="F31" s="2">
        <f t="shared" si="2"/>
        <v>0</v>
      </c>
      <c r="G31" s="2"/>
      <c r="H31" s="2">
        <f>1012.24054</f>
        <v>1012.24054</v>
      </c>
      <c r="I31" s="2"/>
      <c r="J31" s="2">
        <f>0.25972223</f>
        <v>0.25972223</v>
      </c>
      <c r="K31" s="2"/>
      <c r="L31" s="2">
        <f>18.104956</f>
        <v>18.104956000000001</v>
      </c>
      <c r="M31" s="2"/>
      <c r="N31" s="2">
        <f>64.93166</f>
        <v>64.931659999999994</v>
      </c>
      <c r="O31" s="2"/>
      <c r="P31" s="2">
        <f t="shared" si="3"/>
        <v>0</v>
      </c>
      <c r="Q31" s="2"/>
      <c r="R31" s="2">
        <f>0.3341728</f>
        <v>0.33417279999999999</v>
      </c>
    </row>
    <row r="32" spans="1:30" ht="17">
      <c r="A32" s="1" t="str">
        <f t="shared" si="5"/>
        <v>2020/05/06</v>
      </c>
      <c r="B32" s="1" t="str">
        <f>"07:00"</f>
        <v>07:00</v>
      </c>
      <c r="C32" s="2"/>
      <c r="D32" s="7" t="s">
        <v>22</v>
      </c>
      <c r="E32" s="2"/>
      <c r="F32" s="2">
        <f t="shared" si="2"/>
        <v>0</v>
      </c>
      <c r="G32" s="2"/>
      <c r="H32" s="2">
        <f>1012.4412</f>
        <v>1012.4412</v>
      </c>
      <c r="I32" s="2"/>
      <c r="J32" s="2">
        <f>25.855278</f>
        <v>25.855277999999998</v>
      </c>
      <c r="K32" s="2"/>
      <c r="L32" s="2">
        <f>18.05158</f>
        <v>18.051580000000001</v>
      </c>
      <c r="M32" s="2"/>
      <c r="N32" s="2">
        <f>69.6875</f>
        <v>69.6875</v>
      </c>
      <c r="O32" s="2"/>
      <c r="P32" s="2">
        <f t="shared" si="3"/>
        <v>0</v>
      </c>
      <c r="Q32" s="2"/>
      <c r="R32" s="7" t="s">
        <v>22</v>
      </c>
    </row>
    <row r="33" spans="1:18" ht="17">
      <c r="A33" s="1" t="str">
        <f t="shared" si="5"/>
        <v>2020/05/06</v>
      </c>
      <c r="B33" s="1" t="str">
        <f>"08:00"</f>
        <v>08:00</v>
      </c>
      <c r="C33" s="2"/>
      <c r="D33" s="2">
        <f>246</f>
        <v>246</v>
      </c>
      <c r="E33" s="2"/>
      <c r="F33" s="2">
        <f t="shared" si="2"/>
        <v>0</v>
      </c>
      <c r="G33" s="2"/>
      <c r="H33" s="2">
        <f>1012.66876</f>
        <v>1012.66876</v>
      </c>
      <c r="I33" s="2"/>
      <c r="J33" s="2">
        <f>82.5075</f>
        <v>82.507499999999993</v>
      </c>
      <c r="K33" s="2"/>
      <c r="L33" s="2">
        <f>18.208359</f>
        <v>18.208359000000002</v>
      </c>
      <c r="M33" s="2"/>
      <c r="N33" s="2">
        <f>68.72722</f>
        <v>68.727220000000003</v>
      </c>
      <c r="O33" s="2"/>
      <c r="P33" s="2">
        <f>0.1581959</f>
        <v>0.1581959</v>
      </c>
      <c r="Q33" s="2"/>
      <c r="R33" s="2">
        <f>1.0582918</f>
        <v>1.0582917999999999</v>
      </c>
    </row>
    <row r="34" spans="1:18" ht="17">
      <c r="A34" s="1" t="str">
        <f t="shared" si="5"/>
        <v>2020/05/06</v>
      </c>
      <c r="B34" s="1" t="str">
        <f>"09:00"</f>
        <v>09:00</v>
      </c>
      <c r="C34" s="2"/>
      <c r="D34" s="2">
        <f>264</f>
        <v>264</v>
      </c>
      <c r="E34" s="2"/>
      <c r="F34" s="2">
        <f t="shared" si="2"/>
        <v>0</v>
      </c>
      <c r="G34" s="2"/>
      <c r="H34" s="2">
        <f>1013.01605</f>
        <v>1013.01605</v>
      </c>
      <c r="I34" s="2"/>
      <c r="J34" s="2">
        <f>148.92111</f>
        <v>148.92111</v>
      </c>
      <c r="K34" s="2"/>
      <c r="L34" s="2">
        <f>19.35162</f>
        <v>19.35162</v>
      </c>
      <c r="M34" s="2"/>
      <c r="N34" s="2">
        <f>61.5825</f>
        <v>61.582500000000003</v>
      </c>
      <c r="O34" s="2"/>
      <c r="P34" s="2">
        <f>0.77852196</f>
        <v>0.77852195999999996</v>
      </c>
      <c r="Q34" s="2"/>
      <c r="R34" s="2">
        <f>2.994926</f>
        <v>2.994926</v>
      </c>
    </row>
    <row r="35" spans="1:18" ht="17">
      <c r="A35" s="1" t="str">
        <f t="shared" si="5"/>
        <v>2020/05/06</v>
      </c>
      <c r="B35" s="1" t="str">
        <f>"10:00"</f>
        <v>10:00</v>
      </c>
      <c r="C35" s="2"/>
      <c r="D35" s="2">
        <f>260</f>
        <v>260</v>
      </c>
      <c r="E35" s="2"/>
      <c r="F35" s="2">
        <f t="shared" si="2"/>
        <v>0</v>
      </c>
      <c r="G35" s="2"/>
      <c r="H35" s="2">
        <f>1012.98114</f>
        <v>1012.98114</v>
      </c>
      <c r="I35" s="2"/>
      <c r="J35" s="2">
        <f>208.43222</f>
        <v>208.43222</v>
      </c>
      <c r="K35" s="2"/>
      <c r="L35" s="2">
        <f>21.276114</f>
        <v>21.276114</v>
      </c>
      <c r="M35" s="2"/>
      <c r="N35" s="2">
        <f>45.5775</f>
        <v>45.577500000000001</v>
      </c>
      <c r="O35" s="2"/>
      <c r="P35" s="2">
        <f>1.4335368</f>
        <v>1.4335367999999999</v>
      </c>
      <c r="Q35" s="2"/>
      <c r="R35" s="2">
        <f>3.7431815</f>
        <v>3.7431814999999999</v>
      </c>
    </row>
    <row r="36" spans="1:18" ht="17">
      <c r="A36" s="1" t="str">
        <f t="shared" si="5"/>
        <v>2020/05/06</v>
      </c>
      <c r="B36" s="1" t="str">
        <f>"11:00"</f>
        <v>11:00</v>
      </c>
      <c r="C36" s="2"/>
      <c r="D36" s="2">
        <f>51</f>
        <v>51</v>
      </c>
      <c r="E36" s="2"/>
      <c r="F36" s="2">
        <f t="shared" si="2"/>
        <v>0</v>
      </c>
      <c r="G36" s="2"/>
      <c r="H36" s="2">
        <f>1012.8666</f>
        <v>1012.8665999999999</v>
      </c>
      <c r="I36" s="2"/>
      <c r="J36" s="2">
        <f>375.4614</f>
        <v>375.46140000000003</v>
      </c>
      <c r="K36" s="2"/>
      <c r="L36" s="2">
        <f>19.870872</f>
        <v>19.870871999999999</v>
      </c>
      <c r="M36" s="2"/>
      <c r="N36" s="2">
        <f>64.41778</f>
        <v>64.417779999999993</v>
      </c>
      <c r="O36" s="2"/>
      <c r="P36" s="2">
        <f>2.7456925</f>
        <v>2.7456925000000001</v>
      </c>
      <c r="Q36" s="2"/>
      <c r="R36" s="2">
        <f>1.2071676</f>
        <v>1.2071676</v>
      </c>
    </row>
    <row r="37" spans="1:18" ht="17">
      <c r="A37" s="1" t="str">
        <f t="shared" si="5"/>
        <v>2020/05/06</v>
      </c>
      <c r="B37" s="1" t="str">
        <f>"12:00"</f>
        <v>12:00</v>
      </c>
      <c r="C37" s="2"/>
      <c r="D37" s="2">
        <f>8</f>
        <v>8</v>
      </c>
      <c r="E37" s="2"/>
      <c r="F37" s="2">
        <f t="shared" si="2"/>
        <v>0</v>
      </c>
      <c r="G37" s="2"/>
      <c r="H37" s="2">
        <f>1013.10736</f>
        <v>1013.10736</v>
      </c>
      <c r="I37" s="2"/>
      <c r="J37" s="2">
        <f>627.4644</f>
        <v>627.46439999999996</v>
      </c>
      <c r="K37" s="2"/>
      <c r="L37" s="2">
        <f>19.609613</f>
        <v>19.609613</v>
      </c>
      <c r="M37" s="2"/>
      <c r="N37" s="2">
        <f>65.2025</f>
        <v>65.202500000000001</v>
      </c>
      <c r="O37" s="2"/>
      <c r="P37" s="2">
        <f>4.28604</f>
        <v>4.2860399999999998</v>
      </c>
      <c r="Q37" s="2"/>
      <c r="R37" s="2">
        <f>2.3836963</f>
        <v>2.3836963</v>
      </c>
    </row>
    <row r="38" spans="1:18" ht="17">
      <c r="A38" s="1" t="str">
        <f t="shared" si="5"/>
        <v>2020/05/06</v>
      </c>
      <c r="B38" s="1" t="str">
        <f>"13:00"</f>
        <v>13:00</v>
      </c>
      <c r="C38" s="2"/>
      <c r="D38" s="2">
        <f>12</f>
        <v>12</v>
      </c>
      <c r="E38" s="2"/>
      <c r="F38" s="2">
        <f t="shared" si="2"/>
        <v>0</v>
      </c>
      <c r="G38" s="2"/>
      <c r="H38" s="2">
        <f>1013.1448</f>
        <v>1013.1448</v>
      </c>
      <c r="I38" s="2"/>
      <c r="J38" s="2">
        <f>509.0803</f>
        <v>509.08030000000002</v>
      </c>
      <c r="K38" s="2"/>
      <c r="L38" s="2">
        <f>19.903728</f>
        <v>19.903728000000001</v>
      </c>
      <c r="M38" s="2"/>
      <c r="N38" s="2">
        <f>68.47139</f>
        <v>68.47139</v>
      </c>
      <c r="O38" s="2"/>
      <c r="P38" s="2">
        <f>3.8984501</f>
        <v>3.8984500999999998</v>
      </c>
      <c r="Q38" s="2"/>
      <c r="R38" s="2">
        <f>1.9130995</f>
        <v>1.9130995</v>
      </c>
    </row>
    <row r="39" spans="1:18" ht="17">
      <c r="A39" s="1" t="str">
        <f t="shared" si="5"/>
        <v>2020/05/06</v>
      </c>
      <c r="B39" s="1" t="str">
        <f>"14:00"</f>
        <v>14:00</v>
      </c>
      <c r="C39" s="2"/>
      <c r="D39" s="2">
        <f>15</f>
        <v>15</v>
      </c>
      <c r="E39" s="2"/>
      <c r="F39" s="2">
        <f t="shared" si="2"/>
        <v>0</v>
      </c>
      <c r="G39" s="2"/>
      <c r="H39" s="2">
        <f>1012.92505</f>
        <v>1012.9250500000001</v>
      </c>
      <c r="I39" s="2"/>
      <c r="J39" s="2">
        <f>747.3425</f>
        <v>747.34249999999997</v>
      </c>
      <c r="K39" s="2"/>
      <c r="L39" s="2">
        <f>20.284939</f>
        <v>20.284939000000001</v>
      </c>
      <c r="M39" s="2"/>
      <c r="N39" s="2">
        <f>71.1075</f>
        <v>71.107500000000002</v>
      </c>
      <c r="O39" s="2"/>
      <c r="P39" s="2">
        <f>5.012073</f>
        <v>5.012073</v>
      </c>
      <c r="Q39" s="2"/>
      <c r="R39" s="2">
        <f>1.9411228</f>
        <v>1.9411228</v>
      </c>
    </row>
    <row r="40" spans="1:18" ht="17">
      <c r="A40" s="1" t="str">
        <f t="shared" si="5"/>
        <v>2020/05/06</v>
      </c>
      <c r="B40" s="1" t="str">
        <f>"15:00"</f>
        <v>15:00</v>
      </c>
      <c r="C40" s="2"/>
      <c r="D40" s="2">
        <f>17</f>
        <v>17</v>
      </c>
      <c r="E40" s="2"/>
      <c r="F40" s="2">
        <f t="shared" si="2"/>
        <v>0</v>
      </c>
      <c r="G40" s="2"/>
      <c r="H40" s="2">
        <f>1013.1798</f>
        <v>1013.1798</v>
      </c>
      <c r="I40" s="2"/>
      <c r="J40" s="2">
        <f>786.81335</f>
        <v>786.81335000000001</v>
      </c>
      <c r="K40" s="2"/>
      <c r="L40" s="2">
        <f>19.649794</f>
        <v>19.649794</v>
      </c>
      <c r="M40" s="2"/>
      <c r="N40" s="2">
        <f>77.59</f>
        <v>77.59</v>
      </c>
      <c r="O40" s="2"/>
      <c r="P40" s="2">
        <f>4.448925</f>
        <v>4.448925</v>
      </c>
      <c r="Q40" s="2"/>
      <c r="R40" s="2">
        <f>3.0843544</f>
        <v>3.0843544000000001</v>
      </c>
    </row>
    <row r="41" spans="1:18" ht="17">
      <c r="A41" s="1" t="str">
        <f t="shared" si="5"/>
        <v>2020/05/06</v>
      </c>
      <c r="B41" s="1" t="str">
        <f>"16:00"</f>
        <v>16:00</v>
      </c>
      <c r="C41" s="2"/>
      <c r="D41" s="2">
        <f>19</f>
        <v>19</v>
      </c>
      <c r="E41" s="2"/>
      <c r="F41" s="2">
        <f t="shared" si="2"/>
        <v>0</v>
      </c>
      <c r="G41" s="2"/>
      <c r="H41" s="2">
        <f>1013.32526</f>
        <v>1013.32526</v>
      </c>
      <c r="I41" s="2"/>
      <c r="J41" s="2">
        <f>536.71</f>
        <v>536.71</v>
      </c>
      <c r="K41" s="2"/>
      <c r="L41" s="2">
        <f>18.836212</f>
        <v>18.836212</v>
      </c>
      <c r="M41" s="2"/>
      <c r="N41" s="2">
        <f>85.72389</f>
        <v>85.723889999999997</v>
      </c>
      <c r="O41" s="2"/>
      <c r="P41" s="2">
        <f>3.1407683</f>
        <v>3.1407683</v>
      </c>
      <c r="Q41" s="2"/>
      <c r="R41" s="2">
        <f>2.9311807</f>
        <v>2.9311807000000001</v>
      </c>
    </row>
    <row r="42" spans="1:18" ht="17">
      <c r="A42" s="1" t="str">
        <f t="shared" si="5"/>
        <v>2020/05/06</v>
      </c>
      <c r="B42" s="1" t="str">
        <f>"17:00"</f>
        <v>17:00</v>
      </c>
      <c r="C42" s="2"/>
      <c r="D42" s="2">
        <f>18</f>
        <v>18</v>
      </c>
      <c r="E42" s="2"/>
      <c r="F42" s="2">
        <f t="shared" si="2"/>
        <v>0</v>
      </c>
      <c r="G42" s="2"/>
      <c r="H42" s="2">
        <f>1013.97766</f>
        <v>1013.97766</v>
      </c>
      <c r="I42" s="2"/>
      <c r="J42" s="2">
        <f>195.46945</f>
        <v>195.46944999999999</v>
      </c>
      <c r="K42" s="2"/>
      <c r="L42" s="2">
        <f>18.124437</f>
        <v>18.124437</v>
      </c>
      <c r="M42" s="2"/>
      <c r="N42" s="2">
        <f>85.51972</f>
        <v>85.519720000000007</v>
      </c>
      <c r="O42" s="2"/>
      <c r="P42" s="2">
        <f>1.2093873</f>
        <v>1.2093872999999999</v>
      </c>
      <c r="Q42" s="2"/>
      <c r="R42" s="2">
        <f>4.0955496</f>
        <v>4.0955496</v>
      </c>
    </row>
    <row r="43" spans="1:18" ht="17">
      <c r="A43" s="1" t="str">
        <f t="shared" si="5"/>
        <v>2020/05/06</v>
      </c>
      <c r="B43" s="1" t="str">
        <f>"18:00"</f>
        <v>18:00</v>
      </c>
      <c r="C43" s="2"/>
      <c r="D43" s="2">
        <f>11</f>
        <v>11</v>
      </c>
      <c r="E43" s="2"/>
      <c r="F43" s="2">
        <f t="shared" si="2"/>
        <v>0</v>
      </c>
      <c r="G43" s="2"/>
      <c r="H43" s="2">
        <f>1014.75525</f>
        <v>1014.75525</v>
      </c>
      <c r="I43" s="2"/>
      <c r="J43" s="2">
        <f>134.4625</f>
        <v>134.46250000000001</v>
      </c>
      <c r="K43" s="2"/>
      <c r="L43" s="2">
        <f>17.83765</f>
        <v>17.83765</v>
      </c>
      <c r="M43" s="2"/>
      <c r="N43" s="2">
        <f>74.62055</f>
        <v>74.620549999999994</v>
      </c>
      <c r="O43" s="2"/>
      <c r="P43" s="2">
        <f>0.66929823</f>
        <v>0.66929822999999999</v>
      </c>
      <c r="Q43" s="2"/>
      <c r="R43" s="2">
        <f>2.7642863</f>
        <v>2.7642863000000002</v>
      </c>
    </row>
    <row r="44" spans="1:18" ht="17">
      <c r="A44" s="1" t="str">
        <f t="shared" si="5"/>
        <v>2020/05/06</v>
      </c>
      <c r="B44" s="1" t="str">
        <f>"19:00"</f>
        <v>19:00</v>
      </c>
      <c r="C44" s="2"/>
      <c r="D44" s="2">
        <f>202</f>
        <v>202</v>
      </c>
      <c r="E44" s="2"/>
      <c r="F44" s="2">
        <f t="shared" si="2"/>
        <v>0</v>
      </c>
      <c r="G44" s="2"/>
      <c r="H44" s="2">
        <f>1015.217</f>
        <v>1015.217</v>
      </c>
      <c r="I44" s="2"/>
      <c r="J44" s="2">
        <f>56.511097</f>
        <v>56.511096999999999</v>
      </c>
      <c r="K44" s="2"/>
      <c r="L44" s="2">
        <f>17.203436</f>
        <v>17.203436</v>
      </c>
      <c r="M44" s="2"/>
      <c r="N44" s="2">
        <f>73.85433</f>
        <v>73.854330000000004</v>
      </c>
      <c r="O44" s="2"/>
      <c r="P44" s="2">
        <f>0.0048557157</f>
        <v>4.8557156999999998E-3</v>
      </c>
      <c r="Q44" s="2"/>
      <c r="R44" s="2">
        <f>1.8396684</f>
        <v>1.8396684000000001</v>
      </c>
    </row>
    <row r="45" spans="1:18" ht="17">
      <c r="A45" s="1" t="str">
        <f t="shared" si="5"/>
        <v>2020/05/06</v>
      </c>
      <c r="B45" s="1" t="str">
        <f>"20:00"</f>
        <v>20:00</v>
      </c>
      <c r="C45" s="2"/>
      <c r="D45" s="2">
        <f>188</f>
        <v>188</v>
      </c>
      <c r="E45" s="2"/>
      <c r="F45" s="2">
        <f t="shared" si="2"/>
        <v>0</v>
      </c>
      <c r="G45" s="2"/>
      <c r="H45" s="2">
        <f>1015.63354</f>
        <v>1015.63354</v>
      </c>
      <c r="I45" s="2"/>
      <c r="J45" s="2">
        <f>2.516389</f>
        <v>2.5163890000000002</v>
      </c>
      <c r="K45" s="2"/>
      <c r="L45" s="2">
        <f>16.842022</f>
        <v>16.842022</v>
      </c>
      <c r="M45" s="2"/>
      <c r="N45" s="2">
        <f>76.157776</f>
        <v>76.157775999999998</v>
      </c>
      <c r="O45" s="2"/>
      <c r="P45" s="2">
        <f t="shared" ref="P45:P56" si="6">0</f>
        <v>0</v>
      </c>
      <c r="Q45" s="2"/>
      <c r="R45" s="2">
        <f>1.4571056</f>
        <v>1.4571056</v>
      </c>
    </row>
    <row r="46" spans="1:18" ht="17">
      <c r="A46" s="1" t="str">
        <f t="shared" si="5"/>
        <v>2020/05/06</v>
      </c>
      <c r="B46" s="1" t="str">
        <f>"21:00"</f>
        <v>21:00</v>
      </c>
      <c r="C46" s="2"/>
      <c r="D46" s="2">
        <f>19</f>
        <v>19</v>
      </c>
      <c r="E46" s="2"/>
      <c r="F46" s="2">
        <f>0.6</f>
        <v>0.6</v>
      </c>
      <c r="G46" s="2"/>
      <c r="H46" s="2">
        <f>1016.4804</f>
        <v>1016.4804</v>
      </c>
      <c r="I46" s="2"/>
      <c r="J46" s="2">
        <f t="shared" ref="J46:J54" si="7">0</f>
        <v>0</v>
      </c>
      <c r="K46" s="2"/>
      <c r="L46" s="2">
        <f>16.294918</f>
        <v>16.294917999999999</v>
      </c>
      <c r="M46" s="2"/>
      <c r="N46" s="2">
        <f>80.92917</f>
        <v>80.929169999999999</v>
      </c>
      <c r="O46" s="2"/>
      <c r="P46" s="2">
        <f t="shared" si="6"/>
        <v>0</v>
      </c>
      <c r="Q46" s="2"/>
      <c r="R46" s="2">
        <f>3.0161762</f>
        <v>3.0161761999999999</v>
      </c>
    </row>
    <row r="47" spans="1:18" ht="17">
      <c r="A47" s="1" t="str">
        <f t="shared" si="5"/>
        <v>2020/05/06</v>
      </c>
      <c r="B47" s="1" t="str">
        <f>"22:00"</f>
        <v>22:00</v>
      </c>
      <c r="C47" s="2"/>
      <c r="D47" s="2">
        <f>10</f>
        <v>10</v>
      </c>
      <c r="E47" s="2"/>
      <c r="F47" s="2">
        <f>0.8</f>
        <v>0.8</v>
      </c>
      <c r="G47" s="2"/>
      <c r="H47" s="2">
        <f>1017.2275</f>
        <v>1017.2275</v>
      </c>
      <c r="I47" s="2"/>
      <c r="J47" s="2">
        <f t="shared" si="7"/>
        <v>0</v>
      </c>
      <c r="K47" s="2"/>
      <c r="L47" s="2">
        <f>14.869713</f>
        <v>14.869713000000001</v>
      </c>
      <c r="M47" s="2"/>
      <c r="N47" s="2">
        <f>87.86806</f>
        <v>87.86806</v>
      </c>
      <c r="O47" s="2"/>
      <c r="P47" s="2">
        <f t="shared" si="6"/>
        <v>0</v>
      </c>
      <c r="Q47" s="2"/>
      <c r="R47" s="2">
        <f>1.640154</f>
        <v>1.6401539999999999</v>
      </c>
    </row>
    <row r="48" spans="1:18" ht="17">
      <c r="A48" s="1" t="str">
        <f t="shared" si="5"/>
        <v>2020/05/06</v>
      </c>
      <c r="B48" s="1" t="str">
        <f>"23:00"</f>
        <v>23:00</v>
      </c>
      <c r="C48" s="2"/>
      <c r="D48" s="2">
        <f>346</f>
        <v>346</v>
      </c>
      <c r="E48" s="2"/>
      <c r="F48" s="2">
        <f>0</f>
        <v>0</v>
      </c>
      <c r="G48" s="2"/>
      <c r="H48" s="2">
        <f>1017.61334</f>
        <v>1017.61334</v>
      </c>
      <c r="I48" s="2"/>
      <c r="J48" s="2">
        <f t="shared" si="7"/>
        <v>0</v>
      </c>
      <c r="K48" s="2"/>
      <c r="L48" s="2">
        <f>14.901996</f>
        <v>14.901996</v>
      </c>
      <c r="M48" s="2"/>
      <c r="N48" s="2">
        <f>88.53139</f>
        <v>88.531390000000002</v>
      </c>
      <c r="O48" s="2"/>
      <c r="P48" s="2">
        <f t="shared" si="6"/>
        <v>0</v>
      </c>
      <c r="Q48" s="2"/>
      <c r="R48" s="2">
        <f>1.9528905</f>
        <v>1.9528905000000001</v>
      </c>
    </row>
    <row r="49" spans="1:18" ht="17">
      <c r="A49" s="1" t="str">
        <f t="shared" si="5"/>
        <v>2020/05/06</v>
      </c>
      <c r="B49" s="1" t="str">
        <f>"24:00"</f>
        <v>24:00</v>
      </c>
      <c r="C49" s="2"/>
      <c r="D49" s="2">
        <f>7</f>
        <v>7</v>
      </c>
      <c r="E49" s="2"/>
      <c r="F49" s="2">
        <f>0</f>
        <v>0</v>
      </c>
      <c r="G49" s="2"/>
      <c r="H49" s="2">
        <f>1017.90857</f>
        <v>1017.9085700000001</v>
      </c>
      <c r="I49" s="2"/>
      <c r="J49" s="2">
        <f t="shared" si="7"/>
        <v>0</v>
      </c>
      <c r="K49" s="2"/>
      <c r="L49" s="2">
        <f>15.588283</f>
        <v>15.588283000000001</v>
      </c>
      <c r="M49" s="2"/>
      <c r="N49" s="2">
        <f>84.95944</f>
        <v>84.959440000000001</v>
      </c>
      <c r="O49" s="2"/>
      <c r="P49" s="2">
        <f t="shared" si="6"/>
        <v>0</v>
      </c>
      <c r="Q49" s="2"/>
      <c r="R49" s="2">
        <f>4.655369</f>
        <v>4.6553690000000003</v>
      </c>
    </row>
    <row r="50" spans="1:18" ht="17">
      <c r="A50" s="1" t="str">
        <f t="shared" ref="A50:A73" si="8">"2020/05/07"</f>
        <v>2020/05/07</v>
      </c>
      <c r="B50" s="1" t="str">
        <f>"01:00"</f>
        <v>01:00</v>
      </c>
      <c r="C50" s="2">
        <f>85.166664</f>
        <v>85.166663999999997</v>
      </c>
      <c r="D50" s="2">
        <f>15</f>
        <v>15</v>
      </c>
      <c r="E50" s="2">
        <f>0.2</f>
        <v>0.2</v>
      </c>
      <c r="F50" s="2">
        <f>0</f>
        <v>0</v>
      </c>
      <c r="G50" s="2">
        <f>1020.89923</f>
        <v>1020.89923</v>
      </c>
      <c r="H50" s="2">
        <f>1018.248</f>
        <v>1018.248</v>
      </c>
      <c r="I50" s="2">
        <f>273.15555</f>
        <v>273.15555000000001</v>
      </c>
      <c r="J50" s="2">
        <f t="shared" si="7"/>
        <v>0</v>
      </c>
      <c r="K50" s="2">
        <f>16.428198</f>
        <v>16.428197999999998</v>
      </c>
      <c r="L50" s="2">
        <f>16.216034</f>
        <v>16.216034000000001</v>
      </c>
      <c r="M50" s="2">
        <f>66.00649</f>
        <v>66.006489999999999</v>
      </c>
      <c r="N50" s="2">
        <f>79.05972</f>
        <v>79.059719999999999</v>
      </c>
      <c r="O50" s="2">
        <f>1.3007491</f>
        <v>1.3007491</v>
      </c>
      <c r="P50" s="2">
        <f t="shared" si="6"/>
        <v>0</v>
      </c>
      <c r="Q50" s="2">
        <f>4.745421</f>
        <v>4.7454210000000003</v>
      </c>
      <c r="R50" s="2">
        <f>5.4328127</f>
        <v>5.4328127000000004</v>
      </c>
    </row>
    <row r="51" spans="1:18" ht="17">
      <c r="A51" s="1" t="str">
        <f t="shared" si="8"/>
        <v>2020/05/07</v>
      </c>
      <c r="B51" s="1" t="str">
        <f>"02:00"</f>
        <v>02:00</v>
      </c>
      <c r="C51" s="2"/>
      <c r="D51" s="2">
        <f>13</f>
        <v>13</v>
      </c>
      <c r="E51" s="2"/>
      <c r="F51" s="2">
        <f>0</f>
        <v>0</v>
      </c>
      <c r="G51" s="2"/>
      <c r="H51" s="2">
        <f>1018.24365</f>
        <v>1018.24365</v>
      </c>
      <c r="I51" s="2"/>
      <c r="J51" s="2">
        <f t="shared" si="7"/>
        <v>0</v>
      </c>
      <c r="K51" s="2"/>
      <c r="L51" s="2">
        <f>16.018635</f>
        <v>16.018635</v>
      </c>
      <c r="M51" s="2"/>
      <c r="N51" s="2">
        <f>80.40056</f>
        <v>80.400559999999999</v>
      </c>
      <c r="O51" s="2"/>
      <c r="P51" s="2">
        <f t="shared" si="6"/>
        <v>0</v>
      </c>
      <c r="Q51" s="2"/>
      <c r="R51" s="2">
        <f>5.672184</f>
        <v>5.6721839999999997</v>
      </c>
    </row>
    <row r="52" spans="1:18" ht="17">
      <c r="A52" s="1" t="str">
        <f t="shared" si="8"/>
        <v>2020/05/07</v>
      </c>
      <c r="B52" s="1" t="str">
        <f>"03:00"</f>
        <v>03:00</v>
      </c>
      <c r="C52" s="2"/>
      <c r="D52" s="2">
        <f>352</f>
        <v>352</v>
      </c>
      <c r="E52" s="2"/>
      <c r="F52" s="2">
        <f>0</f>
        <v>0</v>
      </c>
      <c r="G52" s="2"/>
      <c r="H52" s="2">
        <f>1018.0954</f>
        <v>1018.0954</v>
      </c>
      <c r="I52" s="2"/>
      <c r="J52" s="2">
        <f t="shared" si="7"/>
        <v>0</v>
      </c>
      <c r="K52" s="2"/>
      <c r="L52" s="2">
        <f>15.020249</f>
        <v>15.020249</v>
      </c>
      <c r="M52" s="2"/>
      <c r="N52" s="2">
        <f>85.6725</f>
        <v>85.672499999999999</v>
      </c>
      <c r="O52" s="2"/>
      <c r="P52" s="2">
        <f t="shared" si="6"/>
        <v>0</v>
      </c>
      <c r="Q52" s="2"/>
      <c r="R52" s="2">
        <f>3.940506</f>
        <v>3.9405060000000001</v>
      </c>
    </row>
    <row r="53" spans="1:18" ht="17">
      <c r="A53" s="1" t="str">
        <f t="shared" si="8"/>
        <v>2020/05/07</v>
      </c>
      <c r="B53" s="1" t="str">
        <f>"04:00"</f>
        <v>04:00</v>
      </c>
      <c r="C53" s="2"/>
      <c r="D53" s="2">
        <f>348</f>
        <v>348</v>
      </c>
      <c r="E53" s="2"/>
      <c r="F53" s="2">
        <f>0.2</f>
        <v>0.2</v>
      </c>
      <c r="G53" s="2"/>
      <c r="H53" s="2">
        <f>1018.382</f>
        <v>1018.3819999999999</v>
      </c>
      <c r="I53" s="2"/>
      <c r="J53" s="2">
        <f t="shared" si="7"/>
        <v>0</v>
      </c>
      <c r="K53" s="2"/>
      <c r="L53" s="2">
        <f>14.351324</f>
        <v>14.351324</v>
      </c>
      <c r="M53" s="2"/>
      <c r="N53" s="2">
        <f>85.59055</f>
        <v>85.590549999999993</v>
      </c>
      <c r="O53" s="2"/>
      <c r="P53" s="2">
        <f t="shared" si="6"/>
        <v>0</v>
      </c>
      <c r="Q53" s="2"/>
      <c r="R53" s="2">
        <f>3.1539457</f>
        <v>3.1539457</v>
      </c>
    </row>
    <row r="54" spans="1:18" ht="17">
      <c r="A54" s="1" t="str">
        <f t="shared" si="8"/>
        <v>2020/05/07</v>
      </c>
      <c r="B54" s="1" t="str">
        <f>"05:00"</f>
        <v>05:00</v>
      </c>
      <c r="C54" s="2"/>
      <c r="D54" s="2">
        <f>348</f>
        <v>348</v>
      </c>
      <c r="E54" s="2"/>
      <c r="F54" s="2">
        <f t="shared" ref="F54:F117" si="9">0</f>
        <v>0</v>
      </c>
      <c r="G54" s="2"/>
      <c r="H54" s="2">
        <f>1018.46014</f>
        <v>1018.46014</v>
      </c>
      <c r="I54" s="2"/>
      <c r="J54" s="2">
        <f t="shared" si="7"/>
        <v>0</v>
      </c>
      <c r="K54" s="2"/>
      <c r="L54" s="2">
        <f>13.509733</f>
        <v>13.509733000000001</v>
      </c>
      <c r="M54" s="2"/>
      <c r="N54" s="2">
        <f>86.259445</f>
        <v>86.259444999999999</v>
      </c>
      <c r="O54" s="2"/>
      <c r="P54" s="2">
        <f t="shared" si="6"/>
        <v>0</v>
      </c>
      <c r="Q54" s="2"/>
      <c r="R54" s="2">
        <f>3.720174</f>
        <v>3.7201740000000001</v>
      </c>
    </row>
    <row r="55" spans="1:18" ht="17">
      <c r="A55" s="1" t="str">
        <f t="shared" si="8"/>
        <v>2020/05/07</v>
      </c>
      <c r="B55" s="1" t="str">
        <f>"06:00"</f>
        <v>06:00</v>
      </c>
      <c r="C55" s="2"/>
      <c r="D55" s="2">
        <f>18</f>
        <v>18</v>
      </c>
      <c r="E55" s="2"/>
      <c r="F55" s="2">
        <f t="shared" si="9"/>
        <v>0</v>
      </c>
      <c r="G55" s="2"/>
      <c r="H55" s="2">
        <f>1018.9224</f>
        <v>1018.9224</v>
      </c>
      <c r="I55" s="2"/>
      <c r="J55" s="2">
        <f>1.6752778</f>
        <v>1.6752777999999999</v>
      </c>
      <c r="K55" s="2"/>
      <c r="L55" s="2">
        <f>15.439554</f>
        <v>15.439553999999999</v>
      </c>
      <c r="M55" s="2"/>
      <c r="N55" s="2">
        <f>66.06</f>
        <v>66.06</v>
      </c>
      <c r="O55" s="2"/>
      <c r="P55" s="2">
        <f t="shared" si="6"/>
        <v>0</v>
      </c>
      <c r="Q55" s="2"/>
      <c r="R55" s="2">
        <f>4.663387</f>
        <v>4.6633870000000002</v>
      </c>
    </row>
    <row r="56" spans="1:18" ht="17">
      <c r="A56" s="1" t="str">
        <f t="shared" si="8"/>
        <v>2020/05/07</v>
      </c>
      <c r="B56" s="1" t="str">
        <f>"07:00"</f>
        <v>07:00</v>
      </c>
      <c r="C56" s="2"/>
      <c r="D56" s="2">
        <f>23</f>
        <v>23</v>
      </c>
      <c r="E56" s="2"/>
      <c r="F56" s="2">
        <f t="shared" si="9"/>
        <v>0</v>
      </c>
      <c r="G56" s="2"/>
      <c r="H56" s="2">
        <f>1019.5257</f>
        <v>1019.5257</v>
      </c>
      <c r="I56" s="2"/>
      <c r="J56" s="2">
        <f>22.389166</f>
        <v>22.389165999999999</v>
      </c>
      <c r="K56" s="2"/>
      <c r="L56" s="2">
        <f>15.875998</f>
        <v>15.875997999999999</v>
      </c>
      <c r="M56" s="2"/>
      <c r="N56" s="2">
        <f>63.618332</f>
        <v>63.618332000000002</v>
      </c>
      <c r="O56" s="2"/>
      <c r="P56" s="2">
        <f t="shared" si="6"/>
        <v>0</v>
      </c>
      <c r="Q56" s="2"/>
      <c r="R56" s="2">
        <f>4.1891165</f>
        <v>4.1891164999999999</v>
      </c>
    </row>
    <row r="57" spans="1:18" ht="17">
      <c r="A57" s="1" t="str">
        <f t="shared" si="8"/>
        <v>2020/05/07</v>
      </c>
      <c r="B57" s="1" t="str">
        <f>"08:00"</f>
        <v>08:00</v>
      </c>
      <c r="C57" s="2"/>
      <c r="D57" s="2">
        <f>11</f>
        <v>11</v>
      </c>
      <c r="E57" s="2"/>
      <c r="F57" s="2">
        <f t="shared" si="9"/>
        <v>0</v>
      </c>
      <c r="G57" s="2"/>
      <c r="H57" s="2">
        <f>1020.2666</f>
        <v>1020.2666</v>
      </c>
      <c r="I57" s="2"/>
      <c r="J57" s="2">
        <f>190.69055</f>
        <v>190.69055</v>
      </c>
      <c r="K57" s="2"/>
      <c r="L57" s="2">
        <f>16.11072</f>
        <v>16.110720000000001</v>
      </c>
      <c r="M57" s="2"/>
      <c r="N57" s="2">
        <f>61.216667</f>
        <v>61.216667000000001</v>
      </c>
      <c r="O57" s="2"/>
      <c r="P57" s="2">
        <f>0.48205927</f>
        <v>0.48205926999999998</v>
      </c>
      <c r="Q57" s="2"/>
      <c r="R57" s="2">
        <f>2.9263248</f>
        <v>2.9263248000000002</v>
      </c>
    </row>
    <row r="58" spans="1:18" ht="17">
      <c r="A58" s="1" t="str">
        <f t="shared" si="8"/>
        <v>2020/05/07</v>
      </c>
      <c r="B58" s="1" t="str">
        <f>"09:00"</f>
        <v>09:00</v>
      </c>
      <c r="C58" s="2"/>
      <c r="D58" s="2">
        <f>24</f>
        <v>24</v>
      </c>
      <c r="E58" s="2"/>
      <c r="F58" s="2">
        <f t="shared" si="9"/>
        <v>0</v>
      </c>
      <c r="G58" s="2"/>
      <c r="H58" s="2">
        <f>1020.8933</f>
        <v>1020.8933</v>
      </c>
      <c r="I58" s="2"/>
      <c r="J58" s="2">
        <f>104.65639</f>
        <v>104.65639</v>
      </c>
      <c r="K58" s="2"/>
      <c r="L58" s="2">
        <f>16.381372</f>
        <v>16.381371999999999</v>
      </c>
      <c r="M58" s="2"/>
      <c r="N58" s="2">
        <f>57.965</f>
        <v>57.965000000000003</v>
      </c>
      <c r="O58" s="2"/>
      <c r="P58" s="2">
        <f>0.4033632</f>
        <v>0.40336319999999998</v>
      </c>
      <c r="Q58" s="2"/>
      <c r="R58" s="2">
        <f>5.2179947</f>
        <v>5.2179947000000002</v>
      </c>
    </row>
    <row r="59" spans="1:18" ht="17">
      <c r="A59" s="1" t="str">
        <f t="shared" si="8"/>
        <v>2020/05/07</v>
      </c>
      <c r="B59" s="1" t="str">
        <f>"10:00"</f>
        <v>10:00</v>
      </c>
      <c r="C59" s="2"/>
      <c r="D59" s="2">
        <f>23</f>
        <v>23</v>
      </c>
      <c r="E59" s="2"/>
      <c r="F59" s="2">
        <f t="shared" si="9"/>
        <v>0</v>
      </c>
      <c r="G59" s="2"/>
      <c r="H59" s="2">
        <f>1021.2968</f>
        <v>1021.2968</v>
      </c>
      <c r="I59" s="2"/>
      <c r="J59" s="2">
        <f>308.66806</f>
        <v>308.66806000000003</v>
      </c>
      <c r="K59" s="2"/>
      <c r="L59" s="2">
        <f>16.844522</f>
        <v>16.844522000000001</v>
      </c>
      <c r="M59" s="2"/>
      <c r="N59" s="2">
        <f>57.474445</f>
        <v>57.474445000000003</v>
      </c>
      <c r="O59" s="2"/>
      <c r="P59" s="2">
        <f>0.84312016</f>
        <v>0.84312016000000001</v>
      </c>
      <c r="Q59" s="2"/>
      <c r="R59" s="2">
        <f>4.287807</f>
        <v>4.2878069999999999</v>
      </c>
    </row>
    <row r="60" spans="1:18" ht="17">
      <c r="A60" s="1" t="str">
        <f t="shared" si="8"/>
        <v>2020/05/07</v>
      </c>
      <c r="B60" s="1" t="str">
        <f>"11:00"</f>
        <v>11:00</v>
      </c>
      <c r="C60" s="2"/>
      <c r="D60" s="2">
        <f>17</f>
        <v>17</v>
      </c>
      <c r="E60" s="2"/>
      <c r="F60" s="2">
        <f t="shared" si="9"/>
        <v>0</v>
      </c>
      <c r="G60" s="2"/>
      <c r="H60" s="2">
        <f>1021.6982</f>
        <v>1021.6982</v>
      </c>
      <c r="I60" s="2"/>
      <c r="J60" s="2">
        <f>743.32776</f>
        <v>743.32776000000001</v>
      </c>
      <c r="K60" s="2"/>
      <c r="L60" s="2">
        <f>17.005981</f>
        <v>17.005980999999998</v>
      </c>
      <c r="M60" s="2"/>
      <c r="N60" s="2">
        <f>57.361668</f>
        <v>57.361668000000002</v>
      </c>
      <c r="O60" s="2"/>
      <c r="P60" s="2">
        <f>3.0875978</f>
        <v>3.0875978000000002</v>
      </c>
      <c r="Q60" s="2"/>
      <c r="R60" s="2">
        <f>4.6278925</f>
        <v>4.6278924999999997</v>
      </c>
    </row>
    <row r="61" spans="1:18" ht="17">
      <c r="A61" s="1" t="str">
        <f t="shared" si="8"/>
        <v>2020/05/07</v>
      </c>
      <c r="B61" s="1" t="str">
        <f>"12:00"</f>
        <v>12:00</v>
      </c>
      <c r="C61" s="2"/>
      <c r="D61" s="2">
        <f>17</f>
        <v>17</v>
      </c>
      <c r="E61" s="2"/>
      <c r="F61" s="2">
        <f t="shared" si="9"/>
        <v>0</v>
      </c>
      <c r="G61" s="2"/>
      <c r="H61" s="2">
        <f>1021.97687</f>
        <v>1021.97687</v>
      </c>
      <c r="I61" s="2"/>
      <c r="J61" s="2">
        <f>837.4842</f>
        <v>837.48419999999999</v>
      </c>
      <c r="K61" s="2"/>
      <c r="L61" s="2">
        <f>17.133358</f>
        <v>17.133358000000001</v>
      </c>
      <c r="M61" s="2"/>
      <c r="N61" s="2">
        <f>57.593056</f>
        <v>57.593055999999997</v>
      </c>
      <c r="O61" s="2"/>
      <c r="P61" s="2">
        <f>4.759166</f>
        <v>4.7591659999999996</v>
      </c>
      <c r="Q61" s="2"/>
      <c r="R61" s="2">
        <f>5.269409</f>
        <v>5.2694089999999996</v>
      </c>
    </row>
    <row r="62" spans="1:18" ht="17">
      <c r="A62" s="1" t="str">
        <f t="shared" si="8"/>
        <v>2020/05/07</v>
      </c>
      <c r="B62" s="1" t="str">
        <f>"13:00"</f>
        <v>13:00</v>
      </c>
      <c r="C62" s="2"/>
      <c r="D62" s="2">
        <f>16</f>
        <v>16</v>
      </c>
      <c r="E62" s="2"/>
      <c r="F62" s="2">
        <f t="shared" si="9"/>
        <v>0</v>
      </c>
      <c r="G62" s="2"/>
      <c r="H62" s="2">
        <f>1022.1185</f>
        <v>1022.1185</v>
      </c>
      <c r="I62" s="2"/>
      <c r="J62" s="2">
        <f>870.2725</f>
        <v>870.27250000000004</v>
      </c>
      <c r="K62" s="2"/>
      <c r="L62" s="2">
        <f>17.16967</f>
        <v>17.16967</v>
      </c>
      <c r="M62" s="2"/>
      <c r="N62" s="2">
        <f>60.273613</f>
        <v>60.273612999999997</v>
      </c>
      <c r="O62" s="2"/>
      <c r="P62" s="2">
        <f>5.205538</f>
        <v>5.2055379999999998</v>
      </c>
      <c r="Q62" s="2"/>
      <c r="R62" s="2">
        <f>5.506417</f>
        <v>5.5064169999999999</v>
      </c>
    </row>
    <row r="63" spans="1:18" ht="17">
      <c r="A63" s="1" t="str">
        <f t="shared" si="8"/>
        <v>2020/05/07</v>
      </c>
      <c r="B63" s="1" t="str">
        <f>"14:00"</f>
        <v>14:00</v>
      </c>
      <c r="C63" s="2"/>
      <c r="D63" s="2">
        <f>17</f>
        <v>17</v>
      </c>
      <c r="E63" s="2"/>
      <c r="F63" s="2">
        <f t="shared" si="9"/>
        <v>0</v>
      </c>
      <c r="G63" s="2"/>
      <c r="H63" s="2">
        <f>1022.22754</f>
        <v>1022.22754</v>
      </c>
      <c r="I63" s="2"/>
      <c r="J63" s="2">
        <f>860.6544</f>
        <v>860.65440000000001</v>
      </c>
      <c r="K63" s="2"/>
      <c r="L63" s="2">
        <f>17.209146</f>
        <v>17.209146</v>
      </c>
      <c r="M63" s="2"/>
      <c r="N63" s="2">
        <f>60.826946</f>
        <v>60.826946</v>
      </c>
      <c r="O63" s="2"/>
      <c r="P63" s="2">
        <f>5.0777683</f>
        <v>5.0777682999999998</v>
      </c>
      <c r="Q63" s="2"/>
      <c r="R63" s="2">
        <f>6.590934</f>
        <v>6.5909339999999998</v>
      </c>
    </row>
    <row r="64" spans="1:18" ht="17">
      <c r="A64" s="1" t="str">
        <f t="shared" si="8"/>
        <v>2020/05/07</v>
      </c>
      <c r="B64" s="1" t="str">
        <f>"15:00"</f>
        <v>15:00</v>
      </c>
      <c r="C64" s="2"/>
      <c r="D64" s="2">
        <f>16</f>
        <v>16</v>
      </c>
      <c r="E64" s="2"/>
      <c r="F64" s="2">
        <f t="shared" si="9"/>
        <v>0</v>
      </c>
      <c r="G64" s="2"/>
      <c r="H64" s="2">
        <f>1022.1384</f>
        <v>1022.1384</v>
      </c>
      <c r="I64" s="2"/>
      <c r="J64" s="2">
        <f>807.0222</f>
        <v>807.0222</v>
      </c>
      <c r="K64" s="2"/>
      <c r="L64" s="2">
        <f>17.194342</f>
        <v>17.194341999999999</v>
      </c>
      <c r="M64" s="2"/>
      <c r="N64" s="2">
        <f>62.39722</f>
        <v>62.397219999999997</v>
      </c>
      <c r="O64" s="2"/>
      <c r="P64" s="2">
        <f>4.456291</f>
        <v>4.4562910000000002</v>
      </c>
      <c r="Q64" s="2"/>
      <c r="R64" s="2">
        <f>6.528852</f>
        <v>6.5288519999999997</v>
      </c>
    </row>
    <row r="65" spans="1:18" ht="17">
      <c r="A65" s="1" t="str">
        <f t="shared" si="8"/>
        <v>2020/05/07</v>
      </c>
      <c r="B65" s="1" t="str">
        <f>"16:00"</f>
        <v>16:00</v>
      </c>
      <c r="C65" s="2"/>
      <c r="D65" s="2">
        <f>17</f>
        <v>17</v>
      </c>
      <c r="E65" s="2"/>
      <c r="F65" s="2">
        <f t="shared" si="9"/>
        <v>0</v>
      </c>
      <c r="G65" s="2"/>
      <c r="H65" s="2">
        <f>1021.95685</f>
        <v>1021.95685</v>
      </c>
      <c r="I65" s="2"/>
      <c r="J65" s="2">
        <f>704.895</f>
        <v>704.89499999999998</v>
      </c>
      <c r="K65" s="2"/>
      <c r="L65" s="2">
        <f>17.27841</f>
        <v>17.278410000000001</v>
      </c>
      <c r="M65" s="2"/>
      <c r="N65" s="2">
        <f>61.09639</f>
        <v>61.09639</v>
      </c>
      <c r="O65" s="2"/>
      <c r="P65" s="2">
        <f>3.2770805</f>
        <v>3.2770804999999998</v>
      </c>
      <c r="Q65" s="2"/>
      <c r="R65" s="2">
        <f>6.1384344</f>
        <v>6.1384344000000004</v>
      </c>
    </row>
    <row r="66" spans="1:18" ht="17">
      <c r="A66" s="1" t="str">
        <f t="shared" si="8"/>
        <v>2020/05/07</v>
      </c>
      <c r="B66" s="1" t="str">
        <f>"17:00"</f>
        <v>17:00</v>
      </c>
      <c r="C66" s="2"/>
      <c r="D66" s="2">
        <f>16</f>
        <v>16</v>
      </c>
      <c r="E66" s="2"/>
      <c r="F66" s="2">
        <f t="shared" si="9"/>
        <v>0</v>
      </c>
      <c r="G66" s="2"/>
      <c r="H66" s="2">
        <f>1021.73126</f>
        <v>1021.73126</v>
      </c>
      <c r="I66" s="2"/>
      <c r="J66" s="2">
        <f>560.1222</f>
        <v>560.12220000000002</v>
      </c>
      <c r="K66" s="2"/>
      <c r="L66" s="2">
        <f>17.430965</f>
        <v>17.430965</v>
      </c>
      <c r="M66" s="2"/>
      <c r="N66" s="2">
        <f>59.456944</f>
        <v>59.456944</v>
      </c>
      <c r="O66" s="2"/>
      <c r="P66" s="2">
        <f>2.0812054</f>
        <v>2.0812054</v>
      </c>
      <c r="Q66" s="2"/>
      <c r="R66" s="2">
        <f>6.1327276</f>
        <v>6.1327275999999999</v>
      </c>
    </row>
    <row r="67" spans="1:18" ht="17">
      <c r="A67" s="1" t="str">
        <f t="shared" si="8"/>
        <v>2020/05/07</v>
      </c>
      <c r="B67" s="1" t="str">
        <f>"18:00"</f>
        <v>18:00</v>
      </c>
      <c r="C67" s="2"/>
      <c r="D67" s="2">
        <f>16</f>
        <v>16</v>
      </c>
      <c r="E67" s="2"/>
      <c r="F67" s="2">
        <f t="shared" si="9"/>
        <v>0</v>
      </c>
      <c r="G67" s="2"/>
      <c r="H67" s="2">
        <f>1021.63</f>
        <v>1021.63</v>
      </c>
      <c r="I67" s="2"/>
      <c r="J67" s="2">
        <f>322.06555</f>
        <v>322.06554999999997</v>
      </c>
      <c r="K67" s="2"/>
      <c r="L67" s="2">
        <f>17.979624</f>
        <v>17.979624000000001</v>
      </c>
      <c r="M67" s="2"/>
      <c r="N67" s="2">
        <f>56.394165</f>
        <v>56.394165000000001</v>
      </c>
      <c r="O67" s="2"/>
      <c r="P67" s="2">
        <f>1.2337613</f>
        <v>1.2337613000000001</v>
      </c>
      <c r="Q67" s="2"/>
      <c r="R67" s="2">
        <f>5.5208497</f>
        <v>5.5208497000000003</v>
      </c>
    </row>
    <row r="68" spans="1:18" ht="17">
      <c r="A68" s="1" t="str">
        <f t="shared" si="8"/>
        <v>2020/05/07</v>
      </c>
      <c r="B68" s="1" t="str">
        <f>"19:00"</f>
        <v>19:00</v>
      </c>
      <c r="C68" s="2"/>
      <c r="D68" s="2">
        <f>16</f>
        <v>16</v>
      </c>
      <c r="E68" s="2"/>
      <c r="F68" s="2">
        <f t="shared" si="9"/>
        <v>0</v>
      </c>
      <c r="G68" s="2"/>
      <c r="H68" s="2">
        <f>1021.4609</f>
        <v>1021.4609</v>
      </c>
      <c r="I68" s="2"/>
      <c r="J68" s="2">
        <f>188.77972</f>
        <v>188.77972</v>
      </c>
      <c r="K68" s="2"/>
      <c r="L68" s="2">
        <f>17.849121</f>
        <v>17.849121</v>
      </c>
      <c r="M68" s="2"/>
      <c r="N68" s="2">
        <f>60.426666</f>
        <v>60.426665999999997</v>
      </c>
      <c r="O68" s="2"/>
      <c r="P68" s="2">
        <f>0.31102547</f>
        <v>0.31102547000000003</v>
      </c>
      <c r="Q68" s="2"/>
      <c r="R68" s="2">
        <f>5.810029</f>
        <v>5.8100290000000001</v>
      </c>
    </row>
    <row r="69" spans="1:18" ht="17">
      <c r="A69" s="1" t="str">
        <f t="shared" si="8"/>
        <v>2020/05/07</v>
      </c>
      <c r="B69" s="1" t="str">
        <f>"20:00"</f>
        <v>20:00</v>
      </c>
      <c r="C69" s="2"/>
      <c r="D69" s="2">
        <f>16</f>
        <v>16</v>
      </c>
      <c r="E69" s="2"/>
      <c r="F69" s="2">
        <f t="shared" si="9"/>
        <v>0</v>
      </c>
      <c r="G69" s="2"/>
      <c r="H69" s="2">
        <f>1021.6554</f>
        <v>1021.6554</v>
      </c>
      <c r="I69" s="2"/>
      <c r="J69" s="2">
        <f>33.030277</f>
        <v>33.030276999999998</v>
      </c>
      <c r="K69" s="2"/>
      <c r="L69" s="2">
        <f>17.66421</f>
        <v>17.664210000000001</v>
      </c>
      <c r="M69" s="2"/>
      <c r="N69" s="2">
        <f>64.66139</f>
        <v>64.661389999999997</v>
      </c>
      <c r="O69" s="2"/>
      <c r="P69" s="2">
        <f t="shared" ref="P69:P80" si="10">0</f>
        <v>0</v>
      </c>
      <c r="Q69" s="2"/>
      <c r="R69" s="2">
        <f>5.572891</f>
        <v>5.5728910000000003</v>
      </c>
    </row>
    <row r="70" spans="1:18" ht="17">
      <c r="A70" s="1" t="str">
        <f t="shared" si="8"/>
        <v>2020/05/07</v>
      </c>
      <c r="B70" s="1" t="str">
        <f>"21:00"</f>
        <v>21:00</v>
      </c>
      <c r="C70" s="2"/>
      <c r="D70" s="2">
        <f>17</f>
        <v>17</v>
      </c>
      <c r="E70" s="2"/>
      <c r="F70" s="2">
        <f t="shared" si="9"/>
        <v>0</v>
      </c>
      <c r="G70" s="2"/>
      <c r="H70" s="2">
        <f>1022.15796</f>
        <v>1022.15796</v>
      </c>
      <c r="I70" s="2"/>
      <c r="J70" s="2">
        <f t="shared" ref="J70:J78" si="11">0</f>
        <v>0</v>
      </c>
      <c r="K70" s="2"/>
      <c r="L70" s="2">
        <f>17.396196</f>
        <v>17.396196</v>
      </c>
      <c r="M70" s="2"/>
      <c r="N70" s="2">
        <f>66.56695</f>
        <v>66.566950000000006</v>
      </c>
      <c r="O70" s="2"/>
      <c r="P70" s="2">
        <f t="shared" si="10"/>
        <v>0</v>
      </c>
      <c r="Q70" s="2"/>
      <c r="R70" s="2">
        <f>5.2960634</f>
        <v>5.2960634000000004</v>
      </c>
    </row>
    <row r="71" spans="1:18" ht="17">
      <c r="A71" s="1" t="str">
        <f t="shared" si="8"/>
        <v>2020/05/07</v>
      </c>
      <c r="B71" s="1" t="str">
        <f>"22:00"</f>
        <v>22:00</v>
      </c>
      <c r="C71" s="2"/>
      <c r="D71" s="2">
        <f>8</f>
        <v>8</v>
      </c>
      <c r="E71" s="2"/>
      <c r="F71" s="2">
        <f t="shared" si="9"/>
        <v>0</v>
      </c>
      <c r="G71" s="2"/>
      <c r="H71" s="2">
        <f>1022.64386</f>
        <v>1022.64386</v>
      </c>
      <c r="I71" s="2"/>
      <c r="J71" s="2">
        <f t="shared" si="11"/>
        <v>0</v>
      </c>
      <c r="K71" s="2"/>
      <c r="L71" s="2">
        <f>17.238878</f>
        <v>17.238878</v>
      </c>
      <c r="M71" s="2"/>
      <c r="N71" s="2">
        <f>66.43611</f>
        <v>66.436109999999999</v>
      </c>
      <c r="O71" s="2"/>
      <c r="P71" s="2">
        <f t="shared" si="10"/>
        <v>0</v>
      </c>
      <c r="Q71" s="2"/>
      <c r="R71" s="2">
        <f>4.2605634</f>
        <v>4.2605633999999997</v>
      </c>
    </row>
    <row r="72" spans="1:18" ht="17">
      <c r="A72" s="1" t="str">
        <f t="shared" si="8"/>
        <v>2020/05/07</v>
      </c>
      <c r="B72" s="1" t="str">
        <f>"23:00"</f>
        <v>23:00</v>
      </c>
      <c r="C72" s="2"/>
      <c r="D72" s="2">
        <f>333</f>
        <v>333</v>
      </c>
      <c r="E72" s="2"/>
      <c r="F72" s="2">
        <f t="shared" si="9"/>
        <v>0</v>
      </c>
      <c r="G72" s="2"/>
      <c r="H72" s="2">
        <f>1022.7843</f>
        <v>1022.7843</v>
      </c>
      <c r="I72" s="2"/>
      <c r="J72" s="2">
        <f t="shared" si="11"/>
        <v>0</v>
      </c>
      <c r="K72" s="2"/>
      <c r="L72" s="2">
        <f>15.451746</f>
        <v>15.451746</v>
      </c>
      <c r="M72" s="2"/>
      <c r="N72" s="2">
        <f>64.30583</f>
        <v>64.30583</v>
      </c>
      <c r="O72" s="2"/>
      <c r="P72" s="2">
        <f t="shared" si="10"/>
        <v>0</v>
      </c>
      <c r="Q72" s="2"/>
      <c r="R72" s="2">
        <f>1.5255575</f>
        <v>1.5255574999999999</v>
      </c>
    </row>
    <row r="73" spans="1:18" ht="17">
      <c r="A73" s="1" t="str">
        <f t="shared" si="8"/>
        <v>2020/05/07</v>
      </c>
      <c r="B73" s="1" t="str">
        <f>"24:00"</f>
        <v>24:00</v>
      </c>
      <c r="C73" s="2"/>
      <c r="D73" s="2">
        <f>347</f>
        <v>347</v>
      </c>
      <c r="E73" s="2"/>
      <c r="F73" s="2">
        <f t="shared" si="9"/>
        <v>0</v>
      </c>
      <c r="G73" s="2"/>
      <c r="H73" s="2">
        <f>1023.0679</f>
        <v>1023.0679</v>
      </c>
      <c r="I73" s="2"/>
      <c r="J73" s="2">
        <f t="shared" si="11"/>
        <v>0</v>
      </c>
      <c r="K73" s="2"/>
      <c r="L73" s="2">
        <f>14.506937</f>
        <v>14.506937000000001</v>
      </c>
      <c r="M73" s="2"/>
      <c r="N73" s="2">
        <f>63.041668</f>
        <v>63.041668000000001</v>
      </c>
      <c r="O73" s="2"/>
      <c r="P73" s="2">
        <f t="shared" si="10"/>
        <v>0</v>
      </c>
      <c r="Q73" s="2"/>
      <c r="R73" s="2">
        <f>1.9052342</f>
        <v>1.9052342</v>
      </c>
    </row>
    <row r="74" spans="1:18" ht="17">
      <c r="A74" s="1" t="str">
        <f t="shared" ref="A74:A97" si="12">"2020/05/08"</f>
        <v>2020/05/08</v>
      </c>
      <c r="B74" s="1" t="str">
        <f>"01:00"</f>
        <v>01:00</v>
      </c>
      <c r="C74" s="2">
        <f>199.375</f>
        <v>199.375</v>
      </c>
      <c r="D74" s="2">
        <f>339</f>
        <v>339</v>
      </c>
      <c r="E74" s="2">
        <f>0</f>
        <v>0</v>
      </c>
      <c r="F74" s="2">
        <f t="shared" si="9"/>
        <v>0</v>
      </c>
      <c r="G74" s="2">
        <f>1022.3582</f>
        <v>1022.3582</v>
      </c>
      <c r="H74" s="2">
        <f>1023.30396</f>
        <v>1023.30396</v>
      </c>
      <c r="I74" s="2">
        <f>269.40994</f>
        <v>269.40994000000001</v>
      </c>
      <c r="J74" s="2">
        <f t="shared" si="11"/>
        <v>0</v>
      </c>
      <c r="K74" s="2">
        <f>17.14732</f>
        <v>17.147320000000001</v>
      </c>
      <c r="L74" s="2">
        <f>14.154773</f>
        <v>14.154773</v>
      </c>
      <c r="M74" s="2">
        <f>61.308674</f>
        <v>61.308674000000003</v>
      </c>
      <c r="N74" s="2">
        <f>62.253613</f>
        <v>62.253613000000001</v>
      </c>
      <c r="O74" s="2">
        <f>1.4459823</f>
        <v>1.4459823000000001</v>
      </c>
      <c r="P74" s="2">
        <f t="shared" si="10"/>
        <v>0</v>
      </c>
      <c r="Q74" s="2">
        <f>1.9231104</f>
        <v>1.9231104000000001</v>
      </c>
      <c r="R74" s="2">
        <f>2.2646916</f>
        <v>2.2646915999999999</v>
      </c>
    </row>
    <row r="75" spans="1:18" ht="17">
      <c r="A75" s="1" t="str">
        <f t="shared" si="12"/>
        <v>2020/05/08</v>
      </c>
      <c r="B75" s="1" t="str">
        <f>"02:00"</f>
        <v>02:00</v>
      </c>
      <c r="C75" s="2"/>
      <c r="D75" s="2">
        <f>336</f>
        <v>336</v>
      </c>
      <c r="E75" s="2"/>
      <c r="F75" s="2">
        <f t="shared" si="9"/>
        <v>0</v>
      </c>
      <c r="G75" s="2"/>
      <c r="H75" s="2">
        <f>1022.99646</f>
        <v>1022.99646</v>
      </c>
      <c r="I75" s="2"/>
      <c r="J75" s="2">
        <f t="shared" si="11"/>
        <v>0</v>
      </c>
      <c r="K75" s="2"/>
      <c r="L75" s="2">
        <f>14.090011</f>
        <v>14.090011000000001</v>
      </c>
      <c r="M75" s="2"/>
      <c r="N75" s="2">
        <f>62.445</f>
        <v>62.445</v>
      </c>
      <c r="O75" s="2"/>
      <c r="P75" s="2">
        <f t="shared" si="10"/>
        <v>0</v>
      </c>
      <c r="Q75" s="2"/>
      <c r="R75" s="2">
        <f>2.1684072</f>
        <v>2.1684071999999999</v>
      </c>
    </row>
    <row r="76" spans="1:18" ht="17">
      <c r="A76" s="1" t="str">
        <f t="shared" si="12"/>
        <v>2020/05/08</v>
      </c>
      <c r="B76" s="1" t="str">
        <f>"03:00"</f>
        <v>03:00</v>
      </c>
      <c r="C76" s="2"/>
      <c r="D76" s="2">
        <f>338</f>
        <v>338</v>
      </c>
      <c r="E76" s="2"/>
      <c r="F76" s="2">
        <f t="shared" si="9"/>
        <v>0</v>
      </c>
      <c r="G76" s="2"/>
      <c r="H76" s="2">
        <f>1022.99097</f>
        <v>1022.9909699999999</v>
      </c>
      <c r="I76" s="2"/>
      <c r="J76" s="2">
        <f t="shared" si="11"/>
        <v>0</v>
      </c>
      <c r="K76" s="2"/>
      <c r="L76" s="2">
        <f>13.856186</f>
        <v>13.856185999999999</v>
      </c>
      <c r="M76" s="2"/>
      <c r="N76" s="2">
        <f>62.78528</f>
        <v>62.78528</v>
      </c>
      <c r="O76" s="2"/>
      <c r="P76" s="2">
        <f t="shared" si="10"/>
        <v>0</v>
      </c>
      <c r="Q76" s="2"/>
      <c r="R76" s="2">
        <f>2.1808753</f>
        <v>2.1808752999999999</v>
      </c>
    </row>
    <row r="77" spans="1:18" ht="17">
      <c r="A77" s="1" t="str">
        <f t="shared" si="12"/>
        <v>2020/05/08</v>
      </c>
      <c r="B77" s="1" t="str">
        <f>"04:00"</f>
        <v>04:00</v>
      </c>
      <c r="C77" s="2"/>
      <c r="D77" s="2">
        <f>332</f>
        <v>332</v>
      </c>
      <c r="E77" s="2"/>
      <c r="F77" s="2">
        <f t="shared" si="9"/>
        <v>0</v>
      </c>
      <c r="G77" s="2"/>
      <c r="H77" s="2">
        <f>1022.9741</f>
        <v>1022.9741</v>
      </c>
      <c r="I77" s="2"/>
      <c r="J77" s="2">
        <f t="shared" si="11"/>
        <v>0</v>
      </c>
      <c r="K77" s="2"/>
      <c r="L77" s="2">
        <f>13.862046</f>
        <v>13.862045999999999</v>
      </c>
      <c r="M77" s="2"/>
      <c r="N77" s="2">
        <f>62.621387</f>
        <v>62.621386999999999</v>
      </c>
      <c r="O77" s="2"/>
      <c r="P77" s="2">
        <f t="shared" si="10"/>
        <v>0</v>
      </c>
      <c r="Q77" s="2"/>
      <c r="R77" s="2">
        <f>2.956065</f>
        <v>2.9560650000000002</v>
      </c>
    </row>
    <row r="78" spans="1:18" ht="17">
      <c r="A78" s="1" t="str">
        <f t="shared" si="12"/>
        <v>2020/05/08</v>
      </c>
      <c r="B78" s="1" t="str">
        <f>"05:00"</f>
        <v>05:00</v>
      </c>
      <c r="C78" s="2"/>
      <c r="D78" s="2">
        <f>335</f>
        <v>335</v>
      </c>
      <c r="E78" s="2"/>
      <c r="F78" s="2">
        <f t="shared" si="9"/>
        <v>0</v>
      </c>
      <c r="G78" s="2"/>
      <c r="H78" s="2">
        <f>1022.8442</f>
        <v>1022.8442</v>
      </c>
      <c r="I78" s="2"/>
      <c r="J78" s="2">
        <f t="shared" si="11"/>
        <v>0</v>
      </c>
      <c r="K78" s="2"/>
      <c r="L78" s="2">
        <f>14.004802</f>
        <v>14.004802</v>
      </c>
      <c r="M78" s="2"/>
      <c r="N78" s="2">
        <f>62.421944</f>
        <v>62.421944000000003</v>
      </c>
      <c r="O78" s="2"/>
      <c r="P78" s="2">
        <f t="shared" si="10"/>
        <v>0</v>
      </c>
      <c r="Q78" s="2"/>
      <c r="R78" s="2">
        <f>2.5710003</f>
        <v>2.5710003000000001</v>
      </c>
    </row>
    <row r="79" spans="1:18" ht="17">
      <c r="A79" s="1" t="str">
        <f t="shared" si="12"/>
        <v>2020/05/08</v>
      </c>
      <c r="B79" s="1" t="str">
        <f>"06:00"</f>
        <v>06:00</v>
      </c>
      <c r="C79" s="2"/>
      <c r="D79" s="2">
        <f>344</f>
        <v>344</v>
      </c>
      <c r="E79" s="2"/>
      <c r="F79" s="2">
        <f t="shared" si="9"/>
        <v>0</v>
      </c>
      <c r="G79" s="2"/>
      <c r="H79" s="2">
        <f>1022.97217</f>
        <v>1022.97217</v>
      </c>
      <c r="I79" s="2"/>
      <c r="J79" s="2">
        <f>1.7552778</f>
        <v>1.7552778</v>
      </c>
      <c r="K79" s="2"/>
      <c r="L79" s="2">
        <f>14.037595</f>
        <v>14.037595</v>
      </c>
      <c r="M79" s="2"/>
      <c r="N79" s="2">
        <f>61.75083</f>
        <v>61.750830000000001</v>
      </c>
      <c r="O79" s="2"/>
      <c r="P79" s="2">
        <f t="shared" si="10"/>
        <v>0</v>
      </c>
      <c r="Q79" s="2"/>
      <c r="R79" s="2">
        <f>2.409375</f>
        <v>2.4093749999999998</v>
      </c>
    </row>
    <row r="80" spans="1:18" ht="17">
      <c r="A80" s="1" t="str">
        <f t="shared" si="12"/>
        <v>2020/05/08</v>
      </c>
      <c r="B80" s="1" t="str">
        <f>"07:00"</f>
        <v>07:00</v>
      </c>
      <c r="C80" s="2"/>
      <c r="D80" s="2">
        <f>340</f>
        <v>340</v>
      </c>
      <c r="E80" s="2"/>
      <c r="F80" s="2">
        <f t="shared" si="9"/>
        <v>0</v>
      </c>
      <c r="G80" s="2"/>
      <c r="H80" s="2">
        <f>1023.2138</f>
        <v>1023.2138</v>
      </c>
      <c r="I80" s="2"/>
      <c r="J80" s="2">
        <f>21.313612</f>
        <v>21.313611999999999</v>
      </c>
      <c r="K80" s="2"/>
      <c r="L80" s="2">
        <f>14.358306</f>
        <v>14.358306000000001</v>
      </c>
      <c r="M80" s="2"/>
      <c r="N80" s="2">
        <f>56.55528</f>
        <v>56.555280000000003</v>
      </c>
      <c r="O80" s="2"/>
      <c r="P80" s="2">
        <f t="shared" si="10"/>
        <v>0</v>
      </c>
      <c r="Q80" s="2"/>
      <c r="R80" s="2">
        <f>2.4076579</f>
        <v>2.4076578999999998</v>
      </c>
    </row>
    <row r="81" spans="1:18" ht="17">
      <c r="A81" s="1" t="str">
        <f t="shared" si="12"/>
        <v>2020/05/08</v>
      </c>
      <c r="B81" s="1" t="str">
        <f>"08:00"</f>
        <v>08:00</v>
      </c>
      <c r="C81" s="2"/>
      <c r="D81" s="2">
        <f>348</f>
        <v>348</v>
      </c>
      <c r="E81" s="2"/>
      <c r="F81" s="2">
        <f t="shared" si="9"/>
        <v>0</v>
      </c>
      <c r="G81" s="2"/>
      <c r="H81" s="2">
        <f>1023.3313</f>
        <v>1023.3313000000001</v>
      </c>
      <c r="I81" s="2"/>
      <c r="J81" s="2">
        <f>193.16</f>
        <v>193.16</v>
      </c>
      <c r="K81" s="2"/>
      <c r="L81" s="2">
        <f>15.815785</f>
        <v>15.815785</v>
      </c>
      <c r="M81" s="2"/>
      <c r="N81" s="2">
        <f>54.37528</f>
        <v>54.375279999999997</v>
      </c>
      <c r="O81" s="2"/>
      <c r="P81" s="2">
        <f>0.50719655</f>
        <v>0.50719654999999997</v>
      </c>
      <c r="Q81" s="2"/>
      <c r="R81" s="2">
        <f>2.8488116</f>
        <v>2.8488115999999999</v>
      </c>
    </row>
    <row r="82" spans="1:18" ht="17">
      <c r="A82" s="1" t="str">
        <f t="shared" si="12"/>
        <v>2020/05/08</v>
      </c>
      <c r="B82" s="1" t="str">
        <f>"09:00"</f>
        <v>09:00</v>
      </c>
      <c r="C82" s="2"/>
      <c r="D82" s="2">
        <f>351</f>
        <v>351</v>
      </c>
      <c r="E82" s="2"/>
      <c r="F82" s="2">
        <f t="shared" si="9"/>
        <v>0</v>
      </c>
      <c r="G82" s="2"/>
      <c r="H82" s="2">
        <f>1023.56433</f>
        <v>1023.56433</v>
      </c>
      <c r="I82" s="2"/>
      <c r="J82" s="2">
        <f>98.96167</f>
        <v>98.961669999999998</v>
      </c>
      <c r="K82" s="2"/>
      <c r="L82" s="2">
        <f>17.640596</f>
        <v>17.640595999999999</v>
      </c>
      <c r="M82" s="2"/>
      <c r="N82" s="2">
        <f>50.63861</f>
        <v>50.63861</v>
      </c>
      <c r="O82" s="2"/>
      <c r="P82" s="2">
        <f>0.4102785</f>
        <v>0.41027849999999999</v>
      </c>
      <c r="Q82" s="2"/>
      <c r="R82" s="2">
        <f>3.393989</f>
        <v>3.3939889999999999</v>
      </c>
    </row>
    <row r="83" spans="1:18" ht="17">
      <c r="A83" s="1" t="str">
        <f t="shared" si="12"/>
        <v>2020/05/08</v>
      </c>
      <c r="B83" s="1" t="str">
        <f>"10:00"</f>
        <v>10:00</v>
      </c>
      <c r="C83" s="2"/>
      <c r="D83" s="2">
        <f>6</f>
        <v>6</v>
      </c>
      <c r="E83" s="2"/>
      <c r="F83" s="2">
        <f t="shared" si="9"/>
        <v>0</v>
      </c>
      <c r="G83" s="2"/>
      <c r="H83" s="2">
        <f>1023.7364</f>
        <v>1023.7364</v>
      </c>
      <c r="I83" s="2"/>
      <c r="J83" s="2">
        <f>303.00055</f>
        <v>303.00054999999998</v>
      </c>
      <c r="K83" s="2"/>
      <c r="L83" s="2">
        <f>18.456293</f>
        <v>18.456292999999999</v>
      </c>
      <c r="M83" s="2"/>
      <c r="N83" s="2">
        <f>51.391666</f>
        <v>51.391666000000001</v>
      </c>
      <c r="O83" s="2"/>
      <c r="P83" s="2">
        <f>0.8832121</f>
        <v>0.88321210000000006</v>
      </c>
      <c r="Q83" s="2"/>
      <c r="R83" s="2">
        <f>2.8709104</f>
        <v>2.8709104000000001</v>
      </c>
    </row>
    <row r="84" spans="1:18" ht="17">
      <c r="A84" s="1" t="str">
        <f t="shared" si="12"/>
        <v>2020/05/08</v>
      </c>
      <c r="B84" s="1" t="str">
        <f>"11:00"</f>
        <v>11:00</v>
      </c>
      <c r="C84" s="2"/>
      <c r="D84" s="2">
        <f>19</f>
        <v>19</v>
      </c>
      <c r="E84" s="2"/>
      <c r="F84" s="2">
        <f t="shared" si="9"/>
        <v>0</v>
      </c>
      <c r="G84" s="2"/>
      <c r="H84" s="2">
        <f>1023.97876</f>
        <v>1023.97876</v>
      </c>
      <c r="I84" s="2"/>
      <c r="J84" s="2">
        <f>744.305</f>
        <v>744.30499999999995</v>
      </c>
      <c r="K84" s="2"/>
      <c r="L84" s="2">
        <f>18.877092</f>
        <v>18.877092000000001</v>
      </c>
      <c r="M84" s="2"/>
      <c r="N84" s="2">
        <f>51.24139</f>
        <v>51.241390000000003</v>
      </c>
      <c r="O84" s="2"/>
      <c r="P84" s="2">
        <f>3.3604543</f>
        <v>3.3604542999999998</v>
      </c>
      <c r="Q84" s="2"/>
      <c r="R84" s="2">
        <f>2.0126379</f>
        <v>2.0126379000000001</v>
      </c>
    </row>
    <row r="85" spans="1:18" ht="17">
      <c r="A85" s="1" t="str">
        <f t="shared" si="12"/>
        <v>2020/05/08</v>
      </c>
      <c r="B85" s="1" t="str">
        <f>"12:00"</f>
        <v>12:00</v>
      </c>
      <c r="C85" s="2"/>
      <c r="D85" s="2">
        <f>13</f>
        <v>13</v>
      </c>
      <c r="E85" s="2"/>
      <c r="F85" s="2">
        <f t="shared" si="9"/>
        <v>0</v>
      </c>
      <c r="G85" s="2"/>
      <c r="H85" s="2">
        <f>1023.8334</f>
        <v>1023.8334</v>
      </c>
      <c r="I85" s="2"/>
      <c r="J85" s="2">
        <f>837.8555</f>
        <v>837.85550000000001</v>
      </c>
      <c r="K85" s="2"/>
      <c r="L85" s="2">
        <f>19.127138</f>
        <v>19.127137999999999</v>
      </c>
      <c r="M85" s="2"/>
      <c r="N85" s="2">
        <f>56.515</f>
        <v>56.515000000000001</v>
      </c>
      <c r="O85" s="2"/>
      <c r="P85" s="2">
        <f>5.2552376</f>
        <v>5.2552376000000001</v>
      </c>
      <c r="Q85" s="2"/>
      <c r="R85" s="2">
        <f>1.4221659</f>
        <v>1.4221659</v>
      </c>
    </row>
    <row r="86" spans="1:18" ht="17">
      <c r="A86" s="1" t="str">
        <f t="shared" si="12"/>
        <v>2020/05/08</v>
      </c>
      <c r="B86" s="1" t="str">
        <f>"13:00"</f>
        <v>13:00</v>
      </c>
      <c r="C86" s="2"/>
      <c r="D86" s="2">
        <f>5</f>
        <v>5</v>
      </c>
      <c r="E86" s="2"/>
      <c r="F86" s="2">
        <f t="shared" si="9"/>
        <v>0</v>
      </c>
      <c r="G86" s="2"/>
      <c r="H86" s="2">
        <f>1023.6363</f>
        <v>1023.6363</v>
      </c>
      <c r="I86" s="2"/>
      <c r="J86" s="2">
        <f>881.2244</f>
        <v>881.22439999999995</v>
      </c>
      <c r="K86" s="2"/>
      <c r="L86" s="2">
        <f>20.165413</f>
        <v>20.165413000000001</v>
      </c>
      <c r="M86" s="2"/>
      <c r="N86" s="2">
        <f>52.821945</f>
        <v>52.821944999999999</v>
      </c>
      <c r="O86" s="2"/>
      <c r="P86" s="2">
        <f>5.8720827</f>
        <v>5.8720827</v>
      </c>
      <c r="Q86" s="2"/>
      <c r="R86" s="2">
        <f>0.8918458</f>
        <v>0.89184580000000002</v>
      </c>
    </row>
    <row r="87" spans="1:18" ht="17">
      <c r="A87" s="1" t="str">
        <f t="shared" si="12"/>
        <v>2020/05/08</v>
      </c>
      <c r="B87" s="1" t="str">
        <f>"14:00"</f>
        <v>14:00</v>
      </c>
      <c r="C87" s="2"/>
      <c r="D87" s="2">
        <f>174</f>
        <v>174</v>
      </c>
      <c r="E87" s="2"/>
      <c r="F87" s="2">
        <f t="shared" si="9"/>
        <v>0</v>
      </c>
      <c r="G87" s="2"/>
      <c r="H87" s="2">
        <f>1023.1029</f>
        <v>1023.1029</v>
      </c>
      <c r="I87" s="2"/>
      <c r="J87" s="2">
        <f>870.04474</f>
        <v>870.04474000000005</v>
      </c>
      <c r="K87" s="2"/>
      <c r="L87" s="2">
        <f>20.233599</f>
        <v>20.233599000000002</v>
      </c>
      <c r="M87" s="2"/>
      <c r="N87" s="2">
        <f>59.001945</f>
        <v>59.001944999999999</v>
      </c>
      <c r="O87" s="2"/>
      <c r="P87" s="2">
        <f>5.7582073</f>
        <v>5.7582072999999996</v>
      </c>
      <c r="Q87" s="2"/>
      <c r="R87" s="2">
        <f>1.1667857</f>
        <v>1.1667856999999999</v>
      </c>
    </row>
    <row r="88" spans="1:18" ht="17">
      <c r="A88" s="1" t="str">
        <f t="shared" si="12"/>
        <v>2020/05/08</v>
      </c>
      <c r="B88" s="1" t="str">
        <f>"15:00"</f>
        <v>15:00</v>
      </c>
      <c r="C88" s="2"/>
      <c r="D88" s="2">
        <f>159</f>
        <v>159</v>
      </c>
      <c r="E88" s="2"/>
      <c r="F88" s="2">
        <f t="shared" si="9"/>
        <v>0</v>
      </c>
      <c r="G88" s="2"/>
      <c r="H88" s="2">
        <f>1022.5973</f>
        <v>1022.5973</v>
      </c>
      <c r="I88" s="2"/>
      <c r="J88" s="2">
        <f>801.4753</f>
        <v>801.47529999999995</v>
      </c>
      <c r="K88" s="2"/>
      <c r="L88" s="2">
        <f>19.563385</f>
        <v>19.563385</v>
      </c>
      <c r="M88" s="2"/>
      <c r="N88" s="2">
        <f>64.66</f>
        <v>64.66</v>
      </c>
      <c r="O88" s="2"/>
      <c r="P88" s="2">
        <f>5.0119715</f>
        <v>5.0119714999999996</v>
      </c>
      <c r="Q88" s="2"/>
      <c r="R88" s="2">
        <f>1.5607121</f>
        <v>1.5607120999999999</v>
      </c>
    </row>
    <row r="89" spans="1:18" ht="17">
      <c r="A89" s="1" t="str">
        <f t="shared" si="12"/>
        <v>2020/05/08</v>
      </c>
      <c r="B89" s="1" t="str">
        <f>"16:00"</f>
        <v>16:00</v>
      </c>
      <c r="C89" s="2"/>
      <c r="D89" s="2">
        <f>171</f>
        <v>171</v>
      </c>
      <c r="E89" s="2"/>
      <c r="F89" s="2">
        <f t="shared" si="9"/>
        <v>0</v>
      </c>
      <c r="G89" s="2"/>
      <c r="H89" s="2">
        <f>1022.0687</f>
        <v>1022.0687</v>
      </c>
      <c r="I89" s="2"/>
      <c r="J89" s="2">
        <f>697.93665</f>
        <v>697.93664999999999</v>
      </c>
      <c r="K89" s="2"/>
      <c r="L89" s="2">
        <f>19.082016</f>
        <v>19.082015999999999</v>
      </c>
      <c r="M89" s="2"/>
      <c r="N89" s="2">
        <f>69.41889</f>
        <v>69.418890000000005</v>
      </c>
      <c r="O89" s="2"/>
      <c r="P89" s="2">
        <f>3.7126567</f>
        <v>3.7126567000000001</v>
      </c>
      <c r="Q89" s="2"/>
      <c r="R89" s="2">
        <f>1.5662038</f>
        <v>1.5662038</v>
      </c>
    </row>
    <row r="90" spans="1:18" ht="17">
      <c r="A90" s="1" t="str">
        <f t="shared" si="12"/>
        <v>2020/05/08</v>
      </c>
      <c r="B90" s="1" t="str">
        <f>"17:00"</f>
        <v>17:00</v>
      </c>
      <c r="C90" s="2"/>
      <c r="D90" s="2">
        <f>166</f>
        <v>166</v>
      </c>
      <c r="E90" s="2"/>
      <c r="F90" s="2">
        <f t="shared" si="9"/>
        <v>0</v>
      </c>
      <c r="G90" s="2"/>
      <c r="H90" s="2">
        <f>1021.49945</f>
        <v>1021.49945</v>
      </c>
      <c r="I90" s="2"/>
      <c r="J90" s="2">
        <f>519.3164</f>
        <v>519.31640000000004</v>
      </c>
      <c r="K90" s="2"/>
      <c r="L90" s="2">
        <f>18.66375</f>
        <v>18.66375</v>
      </c>
      <c r="M90" s="2"/>
      <c r="N90" s="2">
        <f>73.57222</f>
        <v>73.572220000000002</v>
      </c>
      <c r="O90" s="2"/>
      <c r="P90" s="2">
        <f>2.2884424</f>
        <v>2.2884424000000001</v>
      </c>
      <c r="Q90" s="2"/>
      <c r="R90" s="2">
        <f>1.743388</f>
        <v>1.7433879999999999</v>
      </c>
    </row>
    <row r="91" spans="1:18" ht="17">
      <c r="A91" s="1" t="str">
        <f t="shared" si="12"/>
        <v>2020/05/08</v>
      </c>
      <c r="B91" s="1" t="str">
        <f>"18:00"</f>
        <v>18:00</v>
      </c>
      <c r="C91" s="2"/>
      <c r="D91" s="2">
        <f>162</f>
        <v>162</v>
      </c>
      <c r="E91" s="2"/>
      <c r="F91" s="2">
        <f t="shared" si="9"/>
        <v>0</v>
      </c>
      <c r="G91" s="2"/>
      <c r="H91" s="2">
        <f>1021.2639</f>
        <v>1021.2639</v>
      </c>
      <c r="I91" s="2"/>
      <c r="J91" s="2">
        <f>307.38278</f>
        <v>307.38278000000003</v>
      </c>
      <c r="K91" s="2"/>
      <c r="L91" s="2">
        <f>18.397245</f>
        <v>18.397245000000002</v>
      </c>
      <c r="M91" s="2"/>
      <c r="N91" s="2">
        <f>75.679726</f>
        <v>75.679726000000002</v>
      </c>
      <c r="O91" s="2"/>
      <c r="P91" s="2">
        <f>1.3074498</f>
        <v>1.3074498000000001</v>
      </c>
      <c r="Q91" s="2"/>
      <c r="R91" s="2">
        <f>1.6720031</f>
        <v>1.6720031</v>
      </c>
    </row>
    <row r="92" spans="1:18" ht="17">
      <c r="A92" s="1" t="str">
        <f t="shared" si="12"/>
        <v>2020/05/08</v>
      </c>
      <c r="B92" s="1" t="str">
        <f>"19:00"</f>
        <v>19:00</v>
      </c>
      <c r="C92" s="2"/>
      <c r="D92" s="2">
        <f>167</f>
        <v>167</v>
      </c>
      <c r="E92" s="2"/>
      <c r="F92" s="2">
        <f t="shared" si="9"/>
        <v>0</v>
      </c>
      <c r="G92" s="2"/>
      <c r="H92" s="2">
        <f>1020.92804</f>
        <v>1020.92804</v>
      </c>
      <c r="I92" s="2"/>
      <c r="J92" s="2">
        <f>154.77222</f>
        <v>154.77222</v>
      </c>
      <c r="K92" s="2"/>
      <c r="L92" s="2">
        <f>18.043886</f>
        <v>18.043886000000001</v>
      </c>
      <c r="M92" s="2"/>
      <c r="N92" s="2">
        <f>75.30055</f>
        <v>75.300550000000001</v>
      </c>
      <c r="O92" s="2"/>
      <c r="P92" s="2">
        <f>0.33638647</f>
        <v>0.33638646999999999</v>
      </c>
      <c r="Q92" s="2"/>
      <c r="R92" s="2">
        <f>1.9519413</f>
        <v>1.9519413000000001</v>
      </c>
    </row>
    <row r="93" spans="1:18" ht="17">
      <c r="A93" s="1" t="str">
        <f t="shared" si="12"/>
        <v>2020/05/08</v>
      </c>
      <c r="B93" s="1" t="str">
        <f>"20:00"</f>
        <v>20:00</v>
      </c>
      <c r="C93" s="2"/>
      <c r="D93" s="2">
        <f>160</f>
        <v>160</v>
      </c>
      <c r="E93" s="2"/>
      <c r="F93" s="2">
        <f t="shared" si="9"/>
        <v>0</v>
      </c>
      <c r="G93" s="2"/>
      <c r="H93" s="2">
        <f>1020.5032</f>
        <v>1020.5032</v>
      </c>
      <c r="I93" s="2"/>
      <c r="J93" s="2">
        <f>33.334167</f>
        <v>33.334167000000001</v>
      </c>
      <c r="K93" s="2"/>
      <c r="L93" s="2">
        <f>18.166792</f>
        <v>18.166792000000001</v>
      </c>
      <c r="M93" s="2"/>
      <c r="N93" s="2">
        <f>74.03528</f>
        <v>74.03528</v>
      </c>
      <c r="O93" s="2"/>
      <c r="P93" s="2">
        <f t="shared" ref="P93:P104" si="13">0</f>
        <v>0</v>
      </c>
      <c r="Q93" s="2"/>
      <c r="R93" s="2">
        <f>1.8364601</f>
        <v>1.8364601</v>
      </c>
    </row>
    <row r="94" spans="1:18" ht="17">
      <c r="A94" s="1" t="str">
        <f t="shared" si="12"/>
        <v>2020/05/08</v>
      </c>
      <c r="B94" s="1" t="str">
        <f>"21:00"</f>
        <v>21:00</v>
      </c>
      <c r="C94" s="2"/>
      <c r="D94" s="2">
        <f>164</f>
        <v>164</v>
      </c>
      <c r="E94" s="2"/>
      <c r="F94" s="2">
        <f t="shared" si="9"/>
        <v>0</v>
      </c>
      <c r="G94" s="2"/>
      <c r="H94" s="2">
        <f>1020.36346</f>
        <v>1020.36346</v>
      </c>
      <c r="I94" s="2"/>
      <c r="J94" s="2">
        <f t="shared" ref="J94:J102" si="14">0</f>
        <v>0</v>
      </c>
      <c r="K94" s="2"/>
      <c r="L94" s="2">
        <f>18.425278</f>
        <v>18.425277999999999</v>
      </c>
      <c r="M94" s="2"/>
      <c r="N94" s="2">
        <f>61.139843</f>
        <v>61.139842999999999</v>
      </c>
      <c r="O94" s="2"/>
      <c r="P94" s="2">
        <f t="shared" si="13"/>
        <v>0</v>
      </c>
      <c r="Q94" s="2"/>
      <c r="R94" s="2">
        <f>1.3176141</f>
        <v>1.3176140999999999</v>
      </c>
    </row>
    <row r="95" spans="1:18" ht="17">
      <c r="A95" s="1" t="str">
        <f t="shared" si="12"/>
        <v>2020/05/08</v>
      </c>
      <c r="B95" s="1" t="str">
        <f>"22:00"</f>
        <v>22:00</v>
      </c>
      <c r="C95" s="2"/>
      <c r="D95" s="2">
        <f>166</f>
        <v>166</v>
      </c>
      <c r="E95" s="2"/>
      <c r="F95" s="2">
        <f t="shared" si="9"/>
        <v>0</v>
      </c>
      <c r="G95" s="2"/>
      <c r="H95" s="2">
        <f>1020.4133</f>
        <v>1020.4133</v>
      </c>
      <c r="I95" s="2"/>
      <c r="J95" s="2">
        <f t="shared" si="14"/>
        <v>0</v>
      </c>
      <c r="K95" s="2"/>
      <c r="L95" s="2">
        <f>18.239605</f>
        <v>18.239605000000001</v>
      </c>
      <c r="M95" s="2"/>
      <c r="N95" s="2">
        <f>53.855</f>
        <v>53.854999999999997</v>
      </c>
      <c r="O95" s="2"/>
      <c r="P95" s="2">
        <f t="shared" si="13"/>
        <v>0</v>
      </c>
      <c r="Q95" s="2"/>
      <c r="R95" s="2">
        <f>1.0667514</f>
        <v>1.0667514</v>
      </c>
    </row>
    <row r="96" spans="1:18" ht="17">
      <c r="A96" s="1" t="str">
        <f t="shared" si="12"/>
        <v>2020/05/08</v>
      </c>
      <c r="B96" s="1" t="str">
        <f>"23:00"</f>
        <v>23:00</v>
      </c>
      <c r="C96" s="2"/>
      <c r="D96" s="2">
        <f>167</f>
        <v>167</v>
      </c>
      <c r="E96" s="2"/>
      <c r="F96" s="2">
        <f t="shared" si="9"/>
        <v>0</v>
      </c>
      <c r="G96" s="2"/>
      <c r="H96" s="2">
        <f>1020.27985</f>
        <v>1020.27985</v>
      </c>
      <c r="I96" s="2"/>
      <c r="J96" s="2">
        <f t="shared" si="14"/>
        <v>0</v>
      </c>
      <c r="K96" s="2"/>
      <c r="L96" s="2">
        <f>17.148935</f>
        <v>17.148935000000002</v>
      </c>
      <c r="M96" s="2"/>
      <c r="N96" s="2">
        <f>57.94</f>
        <v>57.94</v>
      </c>
      <c r="O96" s="2"/>
      <c r="P96" s="2">
        <f t="shared" si="13"/>
        <v>0</v>
      </c>
      <c r="Q96" s="2"/>
      <c r="R96" s="2">
        <f>0.9952861</f>
        <v>0.99528609999999995</v>
      </c>
    </row>
    <row r="97" spans="1:18" ht="17">
      <c r="A97" s="1" t="str">
        <f t="shared" si="12"/>
        <v>2020/05/08</v>
      </c>
      <c r="B97" s="1" t="str">
        <f>"24:00"</f>
        <v>24:00</v>
      </c>
      <c r="C97" s="2"/>
      <c r="D97" s="2">
        <f>23</f>
        <v>23</v>
      </c>
      <c r="E97" s="2"/>
      <c r="F97" s="2">
        <f t="shared" si="9"/>
        <v>0</v>
      </c>
      <c r="G97" s="2"/>
      <c r="H97" s="2">
        <f>1020.2003</f>
        <v>1020.2003</v>
      </c>
      <c r="I97" s="2"/>
      <c r="J97" s="2">
        <f t="shared" si="14"/>
        <v>0</v>
      </c>
      <c r="K97" s="2"/>
      <c r="L97" s="2">
        <f>17.125143</f>
        <v>17.125143000000001</v>
      </c>
      <c r="M97" s="2"/>
      <c r="N97" s="2">
        <f>58.9875</f>
        <v>58.987499999999997</v>
      </c>
      <c r="O97" s="2"/>
      <c r="P97" s="2">
        <f t="shared" si="13"/>
        <v>0</v>
      </c>
      <c r="Q97" s="2"/>
      <c r="R97" s="2">
        <f>0.87906975</f>
        <v>0.87906974999999998</v>
      </c>
    </row>
    <row r="98" spans="1:18" ht="17">
      <c r="A98" s="1" t="str">
        <f t="shared" ref="A98:A121" si="15">"2020/05/09"</f>
        <v>2020/05/09</v>
      </c>
      <c r="B98" s="1" t="str">
        <f>"01:00"</f>
        <v>01:00</v>
      </c>
      <c r="C98" s="2">
        <f>162.04546</f>
        <v>162.04545999999999</v>
      </c>
      <c r="D98" s="2">
        <f>39</f>
        <v>39</v>
      </c>
      <c r="E98" s="2">
        <f>0</f>
        <v>0</v>
      </c>
      <c r="F98" s="2">
        <f t="shared" si="9"/>
        <v>0</v>
      </c>
      <c r="G98" s="2">
        <f>1017.6565</f>
        <v>1017.6565000000001</v>
      </c>
      <c r="H98" s="2">
        <f>1020.0729</f>
        <v>1020.0729</v>
      </c>
      <c r="I98" s="2">
        <f>262.50528</f>
        <v>262.50528000000003</v>
      </c>
      <c r="J98" s="2">
        <f t="shared" si="14"/>
        <v>0</v>
      </c>
      <c r="K98" s="2">
        <f>18.886753</f>
        <v>18.886752999999999</v>
      </c>
      <c r="L98" s="2">
        <f>16.530434</f>
        <v>16.530434</v>
      </c>
      <c r="M98" s="2">
        <f>63.18309</f>
        <v>63.18309</v>
      </c>
      <c r="N98" s="2">
        <f>66.041664</f>
        <v>66.041663999999997</v>
      </c>
      <c r="O98" s="2">
        <f>1.4038433</f>
        <v>1.4038432999999999</v>
      </c>
      <c r="P98" s="2">
        <f t="shared" si="13"/>
        <v>0</v>
      </c>
      <c r="Q98" s="2">
        <f>1.5893924</f>
        <v>1.5893923999999999</v>
      </c>
      <c r="R98" s="2">
        <f>0.25010952</f>
        <v>0.25010951999999997</v>
      </c>
    </row>
    <row r="99" spans="1:18" ht="17">
      <c r="A99" s="1" t="str">
        <f t="shared" si="15"/>
        <v>2020/05/09</v>
      </c>
      <c r="B99" s="1" t="str">
        <f>"02:00"</f>
        <v>02:00</v>
      </c>
      <c r="C99" s="2"/>
      <c r="D99" s="2">
        <f>164</f>
        <v>164</v>
      </c>
      <c r="E99" s="2"/>
      <c r="F99" s="2">
        <f t="shared" si="9"/>
        <v>0</v>
      </c>
      <c r="G99" s="2"/>
      <c r="H99" s="2">
        <f>1019.8891</f>
        <v>1019.8891</v>
      </c>
      <c r="I99" s="2"/>
      <c r="J99" s="2">
        <f t="shared" si="14"/>
        <v>0</v>
      </c>
      <c r="K99" s="2"/>
      <c r="L99" s="2">
        <f>16.470556</f>
        <v>16.470555999999998</v>
      </c>
      <c r="M99" s="2"/>
      <c r="N99" s="2">
        <f>62.429165</f>
        <v>62.429164999999998</v>
      </c>
      <c r="O99" s="2"/>
      <c r="P99" s="2">
        <f t="shared" si="13"/>
        <v>0</v>
      </c>
      <c r="Q99" s="2"/>
      <c r="R99" s="2">
        <f>1.5785272</f>
        <v>1.5785271999999999</v>
      </c>
    </row>
    <row r="100" spans="1:18" ht="17">
      <c r="A100" s="1" t="str">
        <f t="shared" si="15"/>
        <v>2020/05/09</v>
      </c>
      <c r="B100" s="1" t="str">
        <f>"03:00"</f>
        <v>03:00</v>
      </c>
      <c r="C100" s="2"/>
      <c r="D100" s="2">
        <f>177</f>
        <v>177</v>
      </c>
      <c r="E100" s="2"/>
      <c r="F100" s="2">
        <f t="shared" si="9"/>
        <v>0</v>
      </c>
      <c r="G100" s="2"/>
      <c r="H100" s="2">
        <f>1019.495</f>
        <v>1019.495</v>
      </c>
      <c r="I100" s="2"/>
      <c r="J100" s="2">
        <f t="shared" si="14"/>
        <v>0</v>
      </c>
      <c r="K100" s="2"/>
      <c r="L100" s="2">
        <f>16.055563</f>
        <v>16.055562999999999</v>
      </c>
      <c r="M100" s="2"/>
      <c r="N100" s="2">
        <f>61.6275</f>
        <v>61.627499999999998</v>
      </c>
      <c r="O100" s="2"/>
      <c r="P100" s="2">
        <f t="shared" si="13"/>
        <v>0</v>
      </c>
      <c r="Q100" s="2"/>
      <c r="R100" s="2">
        <f>0.8087164</f>
        <v>0.8087164</v>
      </c>
    </row>
    <row r="101" spans="1:18" ht="17">
      <c r="A101" s="1" t="str">
        <f t="shared" si="15"/>
        <v>2020/05/09</v>
      </c>
      <c r="B101" s="1" t="str">
        <f>"04:00"</f>
        <v>04:00</v>
      </c>
      <c r="C101" s="2"/>
      <c r="D101" s="2">
        <f>276</f>
        <v>276</v>
      </c>
      <c r="E101" s="2"/>
      <c r="F101" s="2">
        <f t="shared" si="9"/>
        <v>0</v>
      </c>
      <c r="G101" s="2"/>
      <c r="H101" s="2">
        <f>1019.4274</f>
        <v>1019.4274</v>
      </c>
      <c r="I101" s="2"/>
      <c r="J101" s="2">
        <f t="shared" si="14"/>
        <v>0</v>
      </c>
      <c r="K101" s="2"/>
      <c r="L101" s="2">
        <f>15.960121</f>
        <v>15.960120999999999</v>
      </c>
      <c r="M101" s="2"/>
      <c r="N101" s="2">
        <f>60.84083</f>
        <v>60.840829999999997</v>
      </c>
      <c r="O101" s="2"/>
      <c r="P101" s="2">
        <f t="shared" si="13"/>
        <v>0</v>
      </c>
      <c r="Q101" s="2"/>
      <c r="R101" s="2">
        <f>0.2545984</f>
        <v>0.2545984</v>
      </c>
    </row>
    <row r="102" spans="1:18" ht="17">
      <c r="A102" s="1" t="str">
        <f t="shared" si="15"/>
        <v>2020/05/09</v>
      </c>
      <c r="B102" s="1" t="str">
        <f>"05:00"</f>
        <v>05:00</v>
      </c>
      <c r="C102" s="2"/>
      <c r="D102" s="7" t="s">
        <v>22</v>
      </c>
      <c r="E102" s="2"/>
      <c r="F102" s="2">
        <f t="shared" si="9"/>
        <v>0</v>
      </c>
      <c r="G102" s="2"/>
      <c r="H102" s="2">
        <f>1019.1435</f>
        <v>1019.1435</v>
      </c>
      <c r="I102" s="2"/>
      <c r="J102" s="2">
        <f t="shared" si="14"/>
        <v>0</v>
      </c>
      <c r="K102" s="2"/>
      <c r="L102" s="2">
        <f>15.792853</f>
        <v>15.792852999999999</v>
      </c>
      <c r="M102" s="2"/>
      <c r="N102" s="2">
        <f>61.441666</f>
        <v>61.441665999999998</v>
      </c>
      <c r="O102" s="2"/>
      <c r="P102" s="2">
        <f t="shared" si="13"/>
        <v>0</v>
      </c>
      <c r="Q102" s="2"/>
      <c r="R102" s="7" t="s">
        <v>22</v>
      </c>
    </row>
    <row r="103" spans="1:18" ht="17">
      <c r="A103" s="1" t="str">
        <f t="shared" si="15"/>
        <v>2020/05/09</v>
      </c>
      <c r="B103" s="1" t="str">
        <f>"06:00"</f>
        <v>06:00</v>
      </c>
      <c r="C103" s="2"/>
      <c r="D103" s="7" t="s">
        <v>22</v>
      </c>
      <c r="E103" s="2"/>
      <c r="F103" s="2">
        <f t="shared" si="9"/>
        <v>0</v>
      </c>
      <c r="G103" s="2"/>
      <c r="H103" s="2">
        <f>1019.0159</f>
        <v>1019.0159</v>
      </c>
      <c r="I103" s="2"/>
      <c r="J103" s="2">
        <f>2.0433333</f>
        <v>2.0433333</v>
      </c>
      <c r="K103" s="2"/>
      <c r="L103" s="2">
        <f>15.48125</f>
        <v>15.481249999999999</v>
      </c>
      <c r="M103" s="2"/>
      <c r="N103" s="2">
        <f>63.7775</f>
        <v>63.777500000000003</v>
      </c>
      <c r="O103" s="2"/>
      <c r="P103" s="2">
        <f t="shared" si="13"/>
        <v>0</v>
      </c>
      <c r="Q103" s="2"/>
      <c r="R103" s="7" t="s">
        <v>22</v>
      </c>
    </row>
    <row r="104" spans="1:18" ht="17">
      <c r="A104" s="1" t="str">
        <f t="shared" si="15"/>
        <v>2020/05/09</v>
      </c>
      <c r="B104" s="1" t="str">
        <f>"07:00"</f>
        <v>07:00</v>
      </c>
      <c r="C104" s="2"/>
      <c r="D104" s="2">
        <f>181</f>
        <v>181</v>
      </c>
      <c r="E104" s="2"/>
      <c r="F104" s="2">
        <f t="shared" si="9"/>
        <v>0</v>
      </c>
      <c r="G104" s="2"/>
      <c r="H104" s="2">
        <f>1019.14764</f>
        <v>1019.14764</v>
      </c>
      <c r="I104" s="2"/>
      <c r="J104" s="2">
        <f>24.380833</f>
        <v>24.380832999999999</v>
      </c>
      <c r="K104" s="2"/>
      <c r="L104" s="2">
        <f>15.299276</f>
        <v>15.299276000000001</v>
      </c>
      <c r="M104" s="2"/>
      <c r="N104" s="2">
        <f>61.9825</f>
        <v>61.982500000000002</v>
      </c>
      <c r="O104" s="2"/>
      <c r="P104" s="2">
        <f t="shared" si="13"/>
        <v>0</v>
      </c>
      <c r="Q104" s="2"/>
      <c r="R104" s="2">
        <f>0.48695654</f>
        <v>0.48695653999999999</v>
      </c>
    </row>
    <row r="105" spans="1:18" ht="17">
      <c r="A105" s="1" t="str">
        <f t="shared" si="15"/>
        <v>2020/05/09</v>
      </c>
      <c r="B105" s="1" t="str">
        <f>"08:00"</f>
        <v>08:00</v>
      </c>
      <c r="C105" s="2"/>
      <c r="D105" s="2">
        <f>158</f>
        <v>158</v>
      </c>
      <c r="E105" s="2"/>
      <c r="F105" s="2">
        <f t="shared" si="9"/>
        <v>0</v>
      </c>
      <c r="G105" s="2"/>
      <c r="H105" s="2">
        <f>1019.03815</f>
        <v>1019.03815</v>
      </c>
      <c r="I105" s="2"/>
      <c r="J105" s="2">
        <f>196.55583</f>
        <v>196.55582999999999</v>
      </c>
      <c r="K105" s="2"/>
      <c r="L105" s="2">
        <f>17.313005</f>
        <v>17.313005</v>
      </c>
      <c r="M105" s="2"/>
      <c r="N105" s="2">
        <f>59.145</f>
        <v>59.145000000000003</v>
      </c>
      <c r="O105" s="2"/>
      <c r="P105" s="2">
        <f>0.5315844</f>
        <v>0.53158439999999996</v>
      </c>
      <c r="Q105" s="2"/>
      <c r="R105" s="2">
        <f>0.5817623</f>
        <v>0.58176229999999995</v>
      </c>
    </row>
    <row r="106" spans="1:18" ht="17">
      <c r="A106" s="1" t="str">
        <f t="shared" si="15"/>
        <v>2020/05/09</v>
      </c>
      <c r="B106" s="1" t="str">
        <f>"09:00"</f>
        <v>09:00</v>
      </c>
      <c r="C106" s="2"/>
      <c r="D106" s="2">
        <f>161</f>
        <v>161</v>
      </c>
      <c r="E106" s="2"/>
      <c r="F106" s="2">
        <f t="shared" si="9"/>
        <v>0</v>
      </c>
      <c r="G106" s="2"/>
      <c r="H106" s="2">
        <f>1018.93</f>
        <v>1018.93</v>
      </c>
      <c r="I106" s="2"/>
      <c r="J106" s="2">
        <f>107.46</f>
        <v>107.46</v>
      </c>
      <c r="K106" s="2"/>
      <c r="L106" s="2">
        <f>19.42525</f>
        <v>19.425249999999998</v>
      </c>
      <c r="M106" s="2"/>
      <c r="N106" s="2">
        <f>61.74</f>
        <v>61.74</v>
      </c>
      <c r="O106" s="2"/>
      <c r="P106" s="2">
        <f>0.40016714</f>
        <v>0.40016713999999998</v>
      </c>
      <c r="Q106" s="2"/>
      <c r="R106" s="2">
        <f>1.0942159</f>
        <v>1.0942159</v>
      </c>
    </row>
    <row r="107" spans="1:18" ht="17">
      <c r="A107" s="1" t="str">
        <f t="shared" si="15"/>
        <v>2020/05/09</v>
      </c>
      <c r="B107" s="1" t="str">
        <f>"10:00"</f>
        <v>10:00</v>
      </c>
      <c r="C107" s="2"/>
      <c r="D107" s="2">
        <f>169</f>
        <v>169</v>
      </c>
      <c r="E107" s="2"/>
      <c r="F107" s="2">
        <f t="shared" si="9"/>
        <v>0</v>
      </c>
      <c r="G107" s="2"/>
      <c r="H107" s="2">
        <f>1018.66223</f>
        <v>1018.66223</v>
      </c>
      <c r="I107" s="2"/>
      <c r="J107" s="2">
        <f>285.64835</f>
        <v>285.64834999999999</v>
      </c>
      <c r="K107" s="2"/>
      <c r="L107" s="2">
        <f>19.060148</f>
        <v>19.060148000000002</v>
      </c>
      <c r="M107" s="2"/>
      <c r="N107" s="2">
        <f>66.75584</f>
        <v>66.755840000000006</v>
      </c>
      <c r="O107" s="2"/>
      <c r="P107" s="2">
        <f>1.3535678</f>
        <v>1.3535678</v>
      </c>
      <c r="Q107" s="2"/>
      <c r="R107" s="2">
        <f>1.7744519</f>
        <v>1.7744519000000001</v>
      </c>
    </row>
    <row r="108" spans="1:18" ht="17">
      <c r="A108" s="1" t="str">
        <f t="shared" si="15"/>
        <v>2020/05/09</v>
      </c>
      <c r="B108" s="1" t="str">
        <f>"11:00"</f>
        <v>11:00</v>
      </c>
      <c r="C108" s="2"/>
      <c r="D108" s="2">
        <f>156</f>
        <v>156</v>
      </c>
      <c r="E108" s="2"/>
      <c r="F108" s="2">
        <f t="shared" si="9"/>
        <v>0</v>
      </c>
      <c r="G108" s="2"/>
      <c r="H108" s="2">
        <f>1018.91394</f>
        <v>1018.91394</v>
      </c>
      <c r="I108" s="2"/>
      <c r="J108" s="2">
        <f>725.7658</f>
        <v>725.76580000000001</v>
      </c>
      <c r="K108" s="2"/>
      <c r="L108" s="2">
        <f>19.252895</f>
        <v>19.252894999999999</v>
      </c>
      <c r="M108" s="2"/>
      <c r="N108" s="2">
        <f>66.995834</f>
        <v>66.995834000000002</v>
      </c>
      <c r="O108" s="2"/>
      <c r="P108" s="2">
        <f>3.3348455</f>
        <v>3.3348455000000001</v>
      </c>
      <c r="Q108" s="2"/>
      <c r="R108" s="2">
        <f>1.9424144</f>
        <v>1.9424144000000001</v>
      </c>
    </row>
    <row r="109" spans="1:18" ht="17">
      <c r="A109" s="1" t="str">
        <f t="shared" si="15"/>
        <v>2020/05/09</v>
      </c>
      <c r="B109" s="1" t="str">
        <f>"12:00"</f>
        <v>12:00</v>
      </c>
      <c r="C109" s="2"/>
      <c r="D109" s="2">
        <f>166</f>
        <v>166</v>
      </c>
      <c r="E109" s="2"/>
      <c r="F109" s="2">
        <f t="shared" si="9"/>
        <v>0</v>
      </c>
      <c r="G109" s="2"/>
      <c r="H109" s="2">
        <f>1018.68243</f>
        <v>1018.68243</v>
      </c>
      <c r="I109" s="2"/>
      <c r="J109" s="2">
        <f>817.9758</f>
        <v>817.97580000000005</v>
      </c>
      <c r="K109" s="2"/>
      <c r="L109" s="2">
        <f>19.941397</f>
        <v>19.941396999999998</v>
      </c>
      <c r="M109" s="2"/>
      <c r="N109" s="2">
        <f>63.90167</f>
        <v>63.901670000000003</v>
      </c>
      <c r="O109" s="2"/>
      <c r="P109" s="2">
        <f>5.118291</f>
        <v>5.1182910000000001</v>
      </c>
      <c r="Q109" s="2"/>
      <c r="R109" s="2">
        <f>2.0841773</f>
        <v>2.0841772999999999</v>
      </c>
    </row>
    <row r="110" spans="1:18" ht="17">
      <c r="A110" s="1" t="str">
        <f t="shared" si="15"/>
        <v>2020/05/09</v>
      </c>
      <c r="B110" s="1" t="str">
        <f>"13:00"</f>
        <v>13:00</v>
      </c>
      <c r="C110" s="2"/>
      <c r="D110" s="2">
        <f>160</f>
        <v>160</v>
      </c>
      <c r="E110" s="2"/>
      <c r="F110" s="2">
        <f t="shared" si="9"/>
        <v>0</v>
      </c>
      <c r="G110" s="2"/>
      <c r="H110" s="2">
        <f>1018.3111</f>
        <v>1018.3111</v>
      </c>
      <c r="I110" s="2"/>
      <c r="J110" s="2">
        <f>859.89</f>
        <v>859.89</v>
      </c>
      <c r="K110" s="2"/>
      <c r="L110" s="2">
        <f>20.54789</f>
        <v>20.547889999999999</v>
      </c>
      <c r="M110" s="2"/>
      <c r="N110" s="2">
        <f>63.888332</f>
        <v>63.888331999999998</v>
      </c>
      <c r="O110" s="2"/>
      <c r="P110" s="2">
        <f>5.6957736</f>
        <v>5.6957735999999999</v>
      </c>
      <c r="Q110" s="2"/>
      <c r="R110" s="2">
        <f>2.0613317</f>
        <v>2.0613317000000002</v>
      </c>
    </row>
    <row r="111" spans="1:18" ht="17">
      <c r="A111" s="1" t="str">
        <f t="shared" si="15"/>
        <v>2020/05/09</v>
      </c>
      <c r="B111" s="1" t="str">
        <f>"14:00"</f>
        <v>14:00</v>
      </c>
      <c r="C111" s="2"/>
      <c r="D111" s="2">
        <f>155</f>
        <v>155</v>
      </c>
      <c r="E111" s="2"/>
      <c r="F111" s="2">
        <f t="shared" si="9"/>
        <v>0</v>
      </c>
      <c r="G111" s="2"/>
      <c r="H111" s="2">
        <f>1017.7839</f>
        <v>1017.7839</v>
      </c>
      <c r="I111" s="2"/>
      <c r="J111" s="2">
        <f>846.12335</f>
        <v>846.12334999999996</v>
      </c>
      <c r="K111" s="2"/>
      <c r="L111" s="2">
        <f>20.29963</f>
        <v>20.299630000000001</v>
      </c>
      <c r="M111" s="2"/>
      <c r="N111" s="2">
        <f>69.784164</f>
        <v>69.784164000000004</v>
      </c>
      <c r="O111" s="2"/>
      <c r="P111" s="2">
        <f>5.4530663</f>
        <v>5.4530662999999997</v>
      </c>
      <c r="Q111" s="2"/>
      <c r="R111" s="2">
        <f>2.5204358</f>
        <v>2.5204358</v>
      </c>
    </row>
    <row r="112" spans="1:18" ht="17">
      <c r="A112" s="1" t="str">
        <f t="shared" si="15"/>
        <v>2020/05/09</v>
      </c>
      <c r="B112" s="1" t="str">
        <f>"15:00"</f>
        <v>15:00</v>
      </c>
      <c r="C112" s="2"/>
      <c r="D112" s="2">
        <f>162</f>
        <v>162</v>
      </c>
      <c r="E112" s="2"/>
      <c r="F112" s="2">
        <f t="shared" si="9"/>
        <v>0</v>
      </c>
      <c r="G112" s="2"/>
      <c r="H112" s="2">
        <f>1017.2695</f>
        <v>1017.2695</v>
      </c>
      <c r="I112" s="2"/>
      <c r="J112" s="2">
        <f>773.92</f>
        <v>773.92</v>
      </c>
      <c r="K112" s="2"/>
      <c r="L112" s="2">
        <f>20.219635</f>
        <v>20.219635</v>
      </c>
      <c r="M112" s="2"/>
      <c r="N112" s="2">
        <f>74.71167</f>
        <v>74.711669999999998</v>
      </c>
      <c r="O112" s="2"/>
      <c r="P112" s="2">
        <f>4.6942058</f>
        <v>4.6942057999999998</v>
      </c>
      <c r="Q112" s="2"/>
      <c r="R112" s="2">
        <f>2.3342023</f>
        <v>2.3342022999999998</v>
      </c>
    </row>
    <row r="113" spans="1:18" ht="17">
      <c r="A113" s="1" t="str">
        <f t="shared" si="15"/>
        <v>2020/05/09</v>
      </c>
      <c r="B113" s="1" t="str">
        <f>"16:00"</f>
        <v>16:00</v>
      </c>
      <c r="C113" s="2"/>
      <c r="D113" s="2">
        <f>166</f>
        <v>166</v>
      </c>
      <c r="E113" s="2"/>
      <c r="F113" s="2">
        <f t="shared" si="9"/>
        <v>0</v>
      </c>
      <c r="G113" s="2"/>
      <c r="H113" s="2">
        <f>1016.4319</f>
        <v>1016.4319</v>
      </c>
      <c r="I113" s="2"/>
      <c r="J113" s="2">
        <f>665.80585</f>
        <v>665.80584999999996</v>
      </c>
      <c r="K113" s="2"/>
      <c r="L113" s="2">
        <f>20.628847</f>
        <v>20.628847</v>
      </c>
      <c r="M113" s="2"/>
      <c r="N113" s="2">
        <f>73.22667</f>
        <v>73.226669999999999</v>
      </c>
      <c r="O113" s="2"/>
      <c r="P113" s="2">
        <f>3.4262407</f>
        <v>3.4262407000000001</v>
      </c>
      <c r="Q113" s="2"/>
      <c r="R113" s="2">
        <f>2.507767</f>
        <v>2.5077669999999999</v>
      </c>
    </row>
    <row r="114" spans="1:18" ht="17">
      <c r="A114" s="1" t="str">
        <f t="shared" si="15"/>
        <v>2020/05/09</v>
      </c>
      <c r="B114" s="1" t="str">
        <f>"17:00"</f>
        <v>17:00</v>
      </c>
      <c r="C114" s="2"/>
      <c r="D114" s="2">
        <f>167</f>
        <v>167</v>
      </c>
      <c r="E114" s="2"/>
      <c r="F114" s="2">
        <f t="shared" si="9"/>
        <v>0</v>
      </c>
      <c r="G114" s="2"/>
      <c r="H114" s="2">
        <f>1015.74365</f>
        <v>1015.74365</v>
      </c>
      <c r="I114" s="2"/>
      <c r="J114" s="2">
        <f>518.86584</f>
        <v>518.86584000000005</v>
      </c>
      <c r="K114" s="2"/>
      <c r="L114" s="2">
        <f>20.433487</f>
        <v>20.433487</v>
      </c>
      <c r="M114" s="2"/>
      <c r="N114" s="2">
        <f>70.83</f>
        <v>70.83</v>
      </c>
      <c r="O114" s="2"/>
      <c r="P114" s="2">
        <f>2.1670883</f>
        <v>2.1670883000000001</v>
      </c>
      <c r="Q114" s="2"/>
      <c r="R114" s="2">
        <f>2.929452</f>
        <v>2.9294519999999999</v>
      </c>
    </row>
    <row r="115" spans="1:18" ht="17">
      <c r="A115" s="1" t="str">
        <f t="shared" si="15"/>
        <v>2020/05/09</v>
      </c>
      <c r="B115" s="1" t="str">
        <f>"18:00"</f>
        <v>18:00</v>
      </c>
      <c r="C115" s="2"/>
      <c r="D115" s="2">
        <f>165</f>
        <v>165</v>
      </c>
      <c r="E115" s="2"/>
      <c r="F115" s="2">
        <f t="shared" si="9"/>
        <v>0</v>
      </c>
      <c r="G115" s="2"/>
      <c r="H115" s="2">
        <f>1015.2667</f>
        <v>1015.2667</v>
      </c>
      <c r="I115" s="2"/>
      <c r="J115" s="2">
        <f>297.93582</f>
        <v>297.93581999999998</v>
      </c>
      <c r="K115" s="2"/>
      <c r="L115" s="2">
        <f>19.817556</f>
        <v>19.817556</v>
      </c>
      <c r="M115" s="2"/>
      <c r="N115" s="2">
        <f>74.36584</f>
        <v>74.365840000000006</v>
      </c>
      <c r="O115" s="2"/>
      <c r="P115" s="2">
        <f>1.2128267</f>
        <v>1.2128266999999999</v>
      </c>
      <c r="Q115" s="2"/>
      <c r="R115" s="2">
        <f>3.3633075</f>
        <v>3.3633074999999999</v>
      </c>
    </row>
    <row r="116" spans="1:18" ht="17">
      <c r="A116" s="1" t="str">
        <f t="shared" si="15"/>
        <v>2020/05/09</v>
      </c>
      <c r="B116" s="1" t="str">
        <f>"19:00"</f>
        <v>19:00</v>
      </c>
      <c r="C116" s="2"/>
      <c r="D116" s="2">
        <f>165</f>
        <v>165</v>
      </c>
      <c r="E116" s="2"/>
      <c r="F116" s="2">
        <f t="shared" si="9"/>
        <v>0</v>
      </c>
      <c r="G116" s="2"/>
      <c r="H116" s="2">
        <f>1014.8637</f>
        <v>1014.8637</v>
      </c>
      <c r="I116" s="2"/>
      <c r="J116" s="2">
        <f>157.515</f>
        <v>157.51499999999999</v>
      </c>
      <c r="K116" s="2"/>
      <c r="L116" s="2">
        <f>19.558456</f>
        <v>19.558456</v>
      </c>
      <c r="M116" s="2"/>
      <c r="N116" s="2">
        <f>78.870834</f>
        <v>78.870834000000002</v>
      </c>
      <c r="O116" s="2"/>
      <c r="P116" s="2">
        <f>0.30458125</f>
        <v>0.30458125000000003</v>
      </c>
      <c r="Q116" s="2"/>
      <c r="R116" s="2">
        <f>3.1201015</f>
        <v>3.1201015000000001</v>
      </c>
    </row>
    <row r="117" spans="1:18" ht="17">
      <c r="A117" s="1" t="str">
        <f t="shared" si="15"/>
        <v>2020/05/09</v>
      </c>
      <c r="B117" s="1" t="str">
        <f>"20:00"</f>
        <v>20:00</v>
      </c>
      <c r="C117" s="2"/>
      <c r="D117" s="2">
        <f>162</f>
        <v>162</v>
      </c>
      <c r="E117" s="2"/>
      <c r="F117" s="2">
        <f t="shared" si="9"/>
        <v>0</v>
      </c>
      <c r="G117" s="2"/>
      <c r="H117" s="2">
        <f>1014.89276</f>
        <v>1014.89276</v>
      </c>
      <c r="I117" s="2"/>
      <c r="J117" s="2">
        <f>20.240833</f>
        <v>20.240832999999999</v>
      </c>
      <c r="K117" s="2"/>
      <c r="L117" s="2">
        <f>20.381376</f>
        <v>20.381375999999999</v>
      </c>
      <c r="M117" s="2"/>
      <c r="N117" s="2">
        <f>68.144165</f>
        <v>68.144165000000001</v>
      </c>
      <c r="O117" s="2"/>
      <c r="P117" s="2">
        <f t="shared" ref="P117:P129" si="16">0</f>
        <v>0</v>
      </c>
      <c r="Q117" s="2"/>
      <c r="R117" s="2">
        <f>1.9912977</f>
        <v>1.9912977000000001</v>
      </c>
    </row>
    <row r="118" spans="1:18" ht="17">
      <c r="A118" s="1" t="str">
        <f t="shared" si="15"/>
        <v>2020/05/09</v>
      </c>
      <c r="B118" s="1" t="str">
        <f>"21:00"</f>
        <v>21:00</v>
      </c>
      <c r="C118" s="2"/>
      <c r="D118" s="2">
        <f>140</f>
        <v>140</v>
      </c>
      <c r="E118" s="2"/>
      <c r="F118" s="2">
        <f t="shared" ref="F118:F181" si="17">0</f>
        <v>0</v>
      </c>
      <c r="G118" s="2"/>
      <c r="H118" s="2">
        <f>1015.17194</f>
        <v>1015.1719399999999</v>
      </c>
      <c r="I118" s="2"/>
      <c r="J118" s="2">
        <f t="shared" ref="J118:J126" si="18">0</f>
        <v>0</v>
      </c>
      <c r="K118" s="2"/>
      <c r="L118" s="2">
        <f>22.261244</f>
        <v>22.261244000000001</v>
      </c>
      <c r="M118" s="2"/>
      <c r="N118" s="2">
        <f>45.759167</f>
        <v>45.759166999999998</v>
      </c>
      <c r="O118" s="2"/>
      <c r="P118" s="2">
        <f t="shared" si="16"/>
        <v>0</v>
      </c>
      <c r="Q118" s="2"/>
      <c r="R118" s="2">
        <f>0.73109937</f>
        <v>0.73109937000000003</v>
      </c>
    </row>
    <row r="119" spans="1:18" ht="17">
      <c r="A119" s="1" t="str">
        <f t="shared" si="15"/>
        <v>2020/05/09</v>
      </c>
      <c r="B119" s="1" t="str">
        <f>"22:00"</f>
        <v>22:00</v>
      </c>
      <c r="C119" s="2"/>
      <c r="D119" s="2">
        <f>150</f>
        <v>150</v>
      </c>
      <c r="E119" s="2"/>
      <c r="F119" s="2">
        <f t="shared" si="17"/>
        <v>0</v>
      </c>
      <c r="G119" s="2"/>
      <c r="H119" s="2">
        <f>1015.79315</f>
        <v>1015.79315</v>
      </c>
      <c r="I119" s="2"/>
      <c r="J119" s="2">
        <f t="shared" si="18"/>
        <v>0</v>
      </c>
      <c r="K119" s="2"/>
      <c r="L119" s="2">
        <f>21.329084</f>
        <v>21.329084000000002</v>
      </c>
      <c r="M119" s="2"/>
      <c r="N119" s="2">
        <f>46.980835</f>
        <v>46.980834999999999</v>
      </c>
      <c r="O119" s="2"/>
      <c r="P119" s="2">
        <f t="shared" si="16"/>
        <v>0</v>
      </c>
      <c r="Q119" s="2"/>
      <c r="R119" s="2">
        <f>0.92201835</f>
        <v>0.92201834999999999</v>
      </c>
    </row>
    <row r="120" spans="1:18" ht="17">
      <c r="A120" s="1" t="str">
        <f t="shared" si="15"/>
        <v>2020/05/09</v>
      </c>
      <c r="B120" s="1" t="str">
        <f>"23:00"</f>
        <v>23:00</v>
      </c>
      <c r="C120" s="2"/>
      <c r="D120" s="2">
        <f>167</f>
        <v>167</v>
      </c>
      <c r="E120" s="2"/>
      <c r="F120" s="2">
        <f t="shared" si="17"/>
        <v>0</v>
      </c>
      <c r="G120" s="2"/>
      <c r="H120" s="2">
        <f>1015.9813</f>
        <v>1015.9813</v>
      </c>
      <c r="I120" s="2"/>
      <c r="J120" s="2">
        <f t="shared" si="18"/>
        <v>0</v>
      </c>
      <c r="K120" s="2"/>
      <c r="L120" s="2">
        <f>20.777695</f>
        <v>20.777695000000001</v>
      </c>
      <c r="M120" s="2"/>
      <c r="N120" s="2">
        <f>46.559166</f>
        <v>46.559165999999998</v>
      </c>
      <c r="O120" s="2"/>
      <c r="P120" s="2">
        <f t="shared" si="16"/>
        <v>0</v>
      </c>
      <c r="Q120" s="2"/>
      <c r="R120" s="2">
        <f>0.65737045</f>
        <v>0.65737045000000005</v>
      </c>
    </row>
    <row r="121" spans="1:18" ht="17">
      <c r="A121" s="1" t="str">
        <f t="shared" si="15"/>
        <v>2020/05/09</v>
      </c>
      <c r="B121" s="1" t="str">
        <f>"24:00"</f>
        <v>24:00</v>
      </c>
      <c r="C121" s="2"/>
      <c r="D121" s="2">
        <f>159</f>
        <v>159</v>
      </c>
      <c r="E121" s="2"/>
      <c r="F121" s="2">
        <f t="shared" si="17"/>
        <v>0</v>
      </c>
      <c r="G121" s="2"/>
      <c r="H121" s="2">
        <f>1015.82825</f>
        <v>1015.82825</v>
      </c>
      <c r="I121" s="2"/>
      <c r="J121" s="2">
        <f t="shared" si="18"/>
        <v>0</v>
      </c>
      <c r="K121" s="2"/>
      <c r="L121" s="2">
        <f>20.444427</f>
        <v>20.444427000000001</v>
      </c>
      <c r="M121" s="2"/>
      <c r="N121" s="2">
        <f>46.594166</f>
        <v>46.594166000000001</v>
      </c>
      <c r="O121" s="2"/>
      <c r="P121" s="2">
        <f t="shared" si="16"/>
        <v>0</v>
      </c>
      <c r="Q121" s="2"/>
      <c r="R121" s="2">
        <f>0.97232103</f>
        <v>0.97232103000000003</v>
      </c>
    </row>
    <row r="122" spans="1:18" ht="17">
      <c r="A122" s="1" t="str">
        <f t="shared" ref="A122:A145" si="19">"2020/05/10"</f>
        <v>2020/05/10</v>
      </c>
      <c r="B122" s="1" t="str">
        <f>"01:00"</f>
        <v>01:00</v>
      </c>
      <c r="C122" s="2">
        <f>162.7619</f>
        <v>162.7619</v>
      </c>
      <c r="D122" s="2">
        <f>160</f>
        <v>160</v>
      </c>
      <c r="E122" s="2">
        <f>0</f>
        <v>0</v>
      </c>
      <c r="F122" s="2">
        <f t="shared" si="17"/>
        <v>0</v>
      </c>
      <c r="G122" s="2">
        <f>1013.9747</f>
        <v>1013.9747</v>
      </c>
      <c r="H122" s="2">
        <f>1015.65204</f>
        <v>1015.6520400000001</v>
      </c>
      <c r="I122" s="2">
        <f>136.87263</f>
        <v>136.87262999999999</v>
      </c>
      <c r="J122" s="2">
        <f t="shared" si="18"/>
        <v>0</v>
      </c>
      <c r="K122" s="2">
        <f>19.22923</f>
        <v>19.229230000000001</v>
      </c>
      <c r="L122" s="2">
        <f>19.358622</f>
        <v>19.358622</v>
      </c>
      <c r="M122" s="2">
        <f>68.58761</f>
        <v>68.587609999999998</v>
      </c>
      <c r="N122" s="2">
        <f>54.254166</f>
        <v>54.254165999999998</v>
      </c>
      <c r="O122" s="2">
        <f>0.8289132</f>
        <v>0.82891320000000002</v>
      </c>
      <c r="P122" s="2">
        <f t="shared" si="16"/>
        <v>0</v>
      </c>
      <c r="Q122" s="2">
        <f>1.6098913</f>
        <v>1.6098912999999999</v>
      </c>
      <c r="R122" s="2">
        <f>0.862878</f>
        <v>0.86287800000000003</v>
      </c>
    </row>
    <row r="123" spans="1:18" ht="17">
      <c r="A123" s="1" t="str">
        <f t="shared" si="19"/>
        <v>2020/05/10</v>
      </c>
      <c r="B123" s="1" t="str">
        <f>"02:00"</f>
        <v>02:00</v>
      </c>
      <c r="C123" s="2"/>
      <c r="D123" s="2">
        <f>167</f>
        <v>167</v>
      </c>
      <c r="E123" s="2"/>
      <c r="F123" s="2">
        <f t="shared" si="17"/>
        <v>0</v>
      </c>
      <c r="G123" s="2"/>
      <c r="H123" s="2">
        <f>1015.0888</f>
        <v>1015.0888</v>
      </c>
      <c r="I123" s="2"/>
      <c r="J123" s="2">
        <f t="shared" si="18"/>
        <v>0</v>
      </c>
      <c r="K123" s="2"/>
      <c r="L123" s="2">
        <f>18.73991</f>
        <v>18.739909999999998</v>
      </c>
      <c r="M123" s="2"/>
      <c r="N123" s="2">
        <f>53.16083</f>
        <v>53.160829999999997</v>
      </c>
      <c r="O123" s="2"/>
      <c r="P123" s="2">
        <f t="shared" si="16"/>
        <v>0</v>
      </c>
      <c r="Q123" s="2"/>
      <c r="R123" s="2">
        <f>0.6282028</f>
        <v>0.62820279999999995</v>
      </c>
    </row>
    <row r="124" spans="1:18" ht="17">
      <c r="A124" s="1" t="str">
        <f t="shared" si="19"/>
        <v>2020/05/10</v>
      </c>
      <c r="B124" s="1" t="str">
        <f>"03:00"</f>
        <v>03:00</v>
      </c>
      <c r="C124" s="2"/>
      <c r="D124" s="2">
        <f>185</f>
        <v>185</v>
      </c>
      <c r="E124" s="2"/>
      <c r="F124" s="2">
        <f t="shared" si="17"/>
        <v>0</v>
      </c>
      <c r="G124" s="2"/>
      <c r="H124" s="2">
        <f>1014.5831</f>
        <v>1014.5830999999999</v>
      </c>
      <c r="I124" s="2"/>
      <c r="J124" s="2">
        <f t="shared" si="18"/>
        <v>0</v>
      </c>
      <c r="K124" s="2"/>
      <c r="L124" s="2">
        <f>17.841227</f>
        <v>17.841227</v>
      </c>
      <c r="M124" s="2"/>
      <c r="N124" s="2">
        <f>58.156666</f>
        <v>58.156666000000001</v>
      </c>
      <c r="O124" s="2"/>
      <c r="P124" s="2">
        <f t="shared" si="16"/>
        <v>0</v>
      </c>
      <c r="Q124" s="2"/>
      <c r="R124" s="2">
        <f>0.42653057</f>
        <v>0.42653057</v>
      </c>
    </row>
    <row r="125" spans="1:18" ht="17">
      <c r="A125" s="1" t="str">
        <f t="shared" si="19"/>
        <v>2020/05/10</v>
      </c>
      <c r="B125" s="1" t="str">
        <f>"04:00"</f>
        <v>04:00</v>
      </c>
      <c r="C125" s="2"/>
      <c r="D125" s="7" t="s">
        <v>22</v>
      </c>
      <c r="E125" s="2"/>
      <c r="F125" s="2">
        <f t="shared" si="17"/>
        <v>0</v>
      </c>
      <c r="G125" s="2"/>
      <c r="H125" s="2">
        <f>1014.36847</f>
        <v>1014.36847</v>
      </c>
      <c r="I125" s="2"/>
      <c r="J125" s="2">
        <f t="shared" si="18"/>
        <v>0</v>
      </c>
      <c r="K125" s="2"/>
      <c r="L125" s="2">
        <f>17.245184</f>
        <v>17.245183999999998</v>
      </c>
      <c r="M125" s="2"/>
      <c r="N125" s="2">
        <f>70.096664</f>
        <v>70.096664000000004</v>
      </c>
      <c r="O125" s="2"/>
      <c r="P125" s="2">
        <f t="shared" si="16"/>
        <v>0</v>
      </c>
      <c r="Q125" s="2"/>
      <c r="R125" s="7" t="s">
        <v>22</v>
      </c>
    </row>
    <row r="126" spans="1:18" ht="17">
      <c r="A126" s="1" t="str">
        <f t="shared" si="19"/>
        <v>2020/05/10</v>
      </c>
      <c r="B126" s="1" t="str">
        <f>"05:00"</f>
        <v>05:00</v>
      </c>
      <c r="C126" s="2"/>
      <c r="D126" s="7" t="s">
        <v>22</v>
      </c>
      <c r="E126" s="2"/>
      <c r="F126" s="2">
        <f t="shared" si="17"/>
        <v>0</v>
      </c>
      <c r="G126" s="2"/>
      <c r="H126" s="2">
        <f>1014.44617</f>
        <v>1014.4461700000001</v>
      </c>
      <c r="I126" s="2"/>
      <c r="J126" s="2">
        <f t="shared" si="18"/>
        <v>0</v>
      </c>
      <c r="K126" s="2"/>
      <c r="L126" s="2">
        <f>16.77496</f>
        <v>16.77496</v>
      </c>
      <c r="M126" s="2"/>
      <c r="N126" s="2">
        <f>72.5025</f>
        <v>72.502499999999998</v>
      </c>
      <c r="O126" s="2"/>
      <c r="P126" s="2">
        <f t="shared" si="16"/>
        <v>0</v>
      </c>
      <c r="Q126" s="2"/>
      <c r="R126" s="7" t="s">
        <v>22</v>
      </c>
    </row>
    <row r="127" spans="1:18" ht="17">
      <c r="A127" s="1" t="str">
        <f t="shared" si="19"/>
        <v>2020/05/10</v>
      </c>
      <c r="B127" s="1" t="str">
        <f>"06:00"</f>
        <v>06:00</v>
      </c>
      <c r="C127" s="2"/>
      <c r="D127" s="2">
        <f>293</f>
        <v>293</v>
      </c>
      <c r="E127" s="2"/>
      <c r="F127" s="2">
        <f t="shared" si="17"/>
        <v>0</v>
      </c>
      <c r="G127" s="2"/>
      <c r="H127" s="2">
        <f>1014.25494</f>
        <v>1014.25494</v>
      </c>
      <c r="I127" s="2"/>
      <c r="J127" s="2">
        <f>1.6491667</f>
        <v>1.6491667000000001</v>
      </c>
      <c r="K127" s="2"/>
      <c r="L127" s="2">
        <f>16.656324</f>
        <v>16.656324000000001</v>
      </c>
      <c r="M127" s="2"/>
      <c r="N127" s="2">
        <f>76.9625</f>
        <v>76.962500000000006</v>
      </c>
      <c r="O127" s="2"/>
      <c r="P127" s="2">
        <f t="shared" si="16"/>
        <v>0</v>
      </c>
      <c r="Q127" s="2"/>
      <c r="R127" s="2">
        <f>0.34455723</f>
        <v>0.34455722999999999</v>
      </c>
    </row>
    <row r="128" spans="1:18" ht="17">
      <c r="A128" s="1" t="str">
        <f t="shared" si="19"/>
        <v>2020/05/10</v>
      </c>
      <c r="B128" s="1" t="str">
        <f>"07:00"</f>
        <v>07:00</v>
      </c>
      <c r="C128" s="2"/>
      <c r="D128" s="7" t="s">
        <v>22</v>
      </c>
      <c r="E128" s="2"/>
      <c r="F128" s="2">
        <f t="shared" si="17"/>
        <v>0</v>
      </c>
      <c r="G128" s="2"/>
      <c r="H128" s="2">
        <f>1014.34674</f>
        <v>1014.34674</v>
      </c>
      <c r="I128" s="2"/>
      <c r="J128" s="2">
        <f>19.385</f>
        <v>19.385000000000002</v>
      </c>
      <c r="K128" s="2"/>
      <c r="L128" s="2">
        <f>16.734175</f>
        <v>16.734175</v>
      </c>
      <c r="M128" s="2"/>
      <c r="N128" s="2">
        <f>72.92917</f>
        <v>72.929169999999999</v>
      </c>
      <c r="O128" s="2"/>
      <c r="P128" s="2">
        <f t="shared" si="16"/>
        <v>0</v>
      </c>
      <c r="Q128" s="2"/>
      <c r="R128" s="7" t="s">
        <v>22</v>
      </c>
    </row>
    <row r="129" spans="1:18" ht="17">
      <c r="A129" s="1" t="str">
        <f t="shared" si="19"/>
        <v>2020/05/10</v>
      </c>
      <c r="B129" s="1" t="str">
        <f>"08:00"</f>
        <v>08:00</v>
      </c>
      <c r="C129" s="2"/>
      <c r="D129" s="2">
        <f>157</f>
        <v>157</v>
      </c>
      <c r="E129" s="2"/>
      <c r="F129" s="2">
        <f t="shared" si="17"/>
        <v>0</v>
      </c>
      <c r="G129" s="2"/>
      <c r="H129" s="2">
        <f>1014.3139</f>
        <v>1014.3139</v>
      </c>
      <c r="I129" s="2"/>
      <c r="J129" s="2">
        <f>67.026665</f>
        <v>67.026664999999994</v>
      </c>
      <c r="K129" s="2"/>
      <c r="L129" s="2">
        <f>17.096115</f>
        <v>17.096115000000001</v>
      </c>
      <c r="M129" s="2"/>
      <c r="N129" s="2">
        <f>73.97833</f>
        <v>73.97833</v>
      </c>
      <c r="O129" s="2"/>
      <c r="P129" s="2">
        <f t="shared" si="16"/>
        <v>0</v>
      </c>
      <c r="Q129" s="2"/>
      <c r="R129" s="2">
        <f>0.97885853</f>
        <v>0.97885853</v>
      </c>
    </row>
    <row r="130" spans="1:18" ht="17">
      <c r="A130" s="1" t="str">
        <f t="shared" si="19"/>
        <v>2020/05/10</v>
      </c>
      <c r="B130" s="1" t="str">
        <f>"09:00"</f>
        <v>09:00</v>
      </c>
      <c r="C130" s="2"/>
      <c r="D130" s="2">
        <f>167</f>
        <v>167</v>
      </c>
      <c r="E130" s="2"/>
      <c r="F130" s="2">
        <f t="shared" si="17"/>
        <v>0</v>
      </c>
      <c r="G130" s="2"/>
      <c r="H130" s="2">
        <f>1014.29346</f>
        <v>1014.29346</v>
      </c>
      <c r="I130" s="2"/>
      <c r="J130" s="2">
        <f>126.99084</f>
        <v>126.99084000000001</v>
      </c>
      <c r="K130" s="2"/>
      <c r="L130" s="2">
        <f>18.199446</f>
        <v>18.199445999999998</v>
      </c>
      <c r="M130" s="2"/>
      <c r="N130" s="2">
        <f>73.4475</f>
        <v>73.447500000000005</v>
      </c>
      <c r="O130" s="2"/>
      <c r="P130" s="2">
        <f>0.60975397</f>
        <v>0.60975396999999998</v>
      </c>
      <c r="Q130" s="2"/>
      <c r="R130" s="2">
        <f>0.51557773</f>
        <v>0.51557772999999996</v>
      </c>
    </row>
    <row r="131" spans="1:18" ht="17">
      <c r="A131" s="1" t="str">
        <f t="shared" si="19"/>
        <v>2020/05/10</v>
      </c>
      <c r="B131" s="1" t="str">
        <f>"10:00"</f>
        <v>10:00</v>
      </c>
      <c r="C131" s="2"/>
      <c r="D131" s="2">
        <f>167</f>
        <v>167</v>
      </c>
      <c r="E131" s="2"/>
      <c r="F131" s="2">
        <f t="shared" si="17"/>
        <v>0</v>
      </c>
      <c r="G131" s="2"/>
      <c r="H131" s="2">
        <f>1013.5432</f>
        <v>1013.5432</v>
      </c>
      <c r="I131" s="2"/>
      <c r="J131" s="2">
        <f>113.644165</f>
        <v>113.644165</v>
      </c>
      <c r="K131" s="2"/>
      <c r="L131" s="2">
        <f>19.503042</f>
        <v>19.503042000000001</v>
      </c>
      <c r="M131" s="2"/>
      <c r="N131" s="2">
        <f>69.89</f>
        <v>69.89</v>
      </c>
      <c r="O131" s="2"/>
      <c r="P131" s="2">
        <f>0.7229097</f>
        <v>0.72290969999999999</v>
      </c>
      <c r="Q131" s="2"/>
      <c r="R131" s="2">
        <f>1.4443014</f>
        <v>1.4443014000000001</v>
      </c>
    </row>
    <row r="132" spans="1:18" ht="17">
      <c r="A132" s="1" t="str">
        <f t="shared" si="19"/>
        <v>2020/05/10</v>
      </c>
      <c r="B132" s="1" t="str">
        <f>"11:00"</f>
        <v>11:00</v>
      </c>
      <c r="C132" s="2"/>
      <c r="D132" s="2">
        <f>158</f>
        <v>158</v>
      </c>
      <c r="E132" s="2"/>
      <c r="F132" s="2">
        <f t="shared" si="17"/>
        <v>0</v>
      </c>
      <c r="G132" s="2"/>
      <c r="H132" s="2">
        <f>1013.9378</f>
        <v>1013.9378</v>
      </c>
      <c r="I132" s="2"/>
      <c r="J132" s="2">
        <f>213.46834</f>
        <v>213.46834000000001</v>
      </c>
      <c r="K132" s="2"/>
      <c r="L132" s="2">
        <f>20.012281</f>
        <v>20.012281000000002</v>
      </c>
      <c r="M132" s="2"/>
      <c r="N132" s="2">
        <f>71.081665</f>
        <v>71.081665000000001</v>
      </c>
      <c r="O132" s="2"/>
      <c r="P132" s="2">
        <f>1.4712344</f>
        <v>1.4712343999999999</v>
      </c>
      <c r="Q132" s="2"/>
      <c r="R132" s="2">
        <f>0.82928574</f>
        <v>0.82928573999999999</v>
      </c>
    </row>
    <row r="133" spans="1:18" ht="17">
      <c r="A133" s="1" t="str">
        <f t="shared" si="19"/>
        <v>2020/05/10</v>
      </c>
      <c r="B133" s="1" t="str">
        <f>"12:00"</f>
        <v>12:00</v>
      </c>
      <c r="C133" s="2"/>
      <c r="D133" s="2">
        <f>296</f>
        <v>296</v>
      </c>
      <c r="E133" s="2"/>
      <c r="F133" s="2">
        <f t="shared" si="17"/>
        <v>0</v>
      </c>
      <c r="G133" s="2"/>
      <c r="H133" s="2">
        <f>1014.76807</f>
        <v>1014.76807</v>
      </c>
      <c r="I133" s="2"/>
      <c r="J133" s="2">
        <f>523.87915</f>
        <v>523.87914999999998</v>
      </c>
      <c r="K133" s="2"/>
      <c r="L133" s="2">
        <f>21.650404</f>
        <v>21.650404000000002</v>
      </c>
      <c r="M133" s="2"/>
      <c r="N133" s="2">
        <f>64.20917</f>
        <v>64.20917</v>
      </c>
      <c r="O133" s="2"/>
      <c r="P133" s="2">
        <f>3.6554856</f>
        <v>3.6554856</v>
      </c>
      <c r="Q133" s="2"/>
      <c r="R133" s="2">
        <f>2.476332</f>
        <v>2.4763320000000002</v>
      </c>
    </row>
    <row r="134" spans="1:18" ht="17">
      <c r="A134" s="1" t="str">
        <f t="shared" si="19"/>
        <v>2020/05/10</v>
      </c>
      <c r="B134" s="1" t="str">
        <f>"13:00"</f>
        <v>13:00</v>
      </c>
      <c r="C134" s="2"/>
      <c r="D134" s="2">
        <f>16</f>
        <v>16</v>
      </c>
      <c r="E134" s="2"/>
      <c r="F134" s="2">
        <f t="shared" si="17"/>
        <v>0</v>
      </c>
      <c r="G134" s="2"/>
      <c r="H134" s="2">
        <f>1014.5704</f>
        <v>1014.5703999999999</v>
      </c>
      <c r="I134" s="2"/>
      <c r="J134" s="2">
        <f>566.1008</f>
        <v>566.10080000000005</v>
      </c>
      <c r="K134" s="2"/>
      <c r="L134" s="2">
        <f>22.72855</f>
        <v>22.728549999999998</v>
      </c>
      <c r="M134" s="2"/>
      <c r="N134" s="2">
        <f>59.293335</f>
        <v>59.293334999999999</v>
      </c>
      <c r="O134" s="2"/>
      <c r="P134" s="2">
        <f>4.500494</f>
        <v>4.5004939999999998</v>
      </c>
      <c r="Q134" s="2"/>
      <c r="R134" s="2">
        <f>2.298276</f>
        <v>2.298276</v>
      </c>
    </row>
    <row r="135" spans="1:18" ht="17">
      <c r="A135" s="1" t="str">
        <f t="shared" si="19"/>
        <v>2020/05/10</v>
      </c>
      <c r="B135" s="1" t="str">
        <f>"14:00"</f>
        <v>14:00</v>
      </c>
      <c r="C135" s="2"/>
      <c r="D135" s="2">
        <f>12</f>
        <v>12</v>
      </c>
      <c r="E135" s="2"/>
      <c r="F135" s="2">
        <f t="shared" si="17"/>
        <v>0</v>
      </c>
      <c r="G135" s="2"/>
      <c r="H135" s="2">
        <f>1014.8376</f>
        <v>1014.8376</v>
      </c>
      <c r="I135" s="2"/>
      <c r="J135" s="2">
        <f>605.24414</f>
        <v>605.24414000000002</v>
      </c>
      <c r="K135" s="2"/>
      <c r="L135" s="2">
        <f>19.52377</f>
        <v>19.523769999999999</v>
      </c>
      <c r="M135" s="2"/>
      <c r="N135" s="2">
        <f>79.46167</f>
        <v>79.461669999999998</v>
      </c>
      <c r="O135" s="2"/>
      <c r="P135" s="2">
        <f>3.8754792</f>
        <v>3.8754792</v>
      </c>
      <c r="Q135" s="2"/>
      <c r="R135" s="2">
        <f>2.3739693</f>
        <v>2.3739693000000002</v>
      </c>
    </row>
    <row r="136" spans="1:18" ht="17">
      <c r="A136" s="1" t="str">
        <f t="shared" si="19"/>
        <v>2020/05/10</v>
      </c>
      <c r="B136" s="1" t="str">
        <f>"15:00"</f>
        <v>15:00</v>
      </c>
      <c r="C136" s="2"/>
      <c r="D136" s="2">
        <f>4</f>
        <v>4</v>
      </c>
      <c r="E136" s="2"/>
      <c r="F136" s="2">
        <f t="shared" si="17"/>
        <v>0</v>
      </c>
      <c r="G136" s="2"/>
      <c r="H136" s="2">
        <f>1014.9018</f>
        <v>1014.9018</v>
      </c>
      <c r="I136" s="2"/>
      <c r="J136" s="2">
        <f>163.23416</f>
        <v>163.23416</v>
      </c>
      <c r="K136" s="2"/>
      <c r="L136" s="2">
        <f>19.063915</f>
        <v>19.063915000000001</v>
      </c>
      <c r="M136" s="2"/>
      <c r="N136" s="2">
        <f>79.20333</f>
        <v>79.203329999999994</v>
      </c>
      <c r="O136" s="2"/>
      <c r="P136" s="2">
        <f>1.2576625</f>
        <v>1.2576624999999999</v>
      </c>
      <c r="Q136" s="2"/>
      <c r="R136" s="2">
        <f>3.1546113</f>
        <v>3.1546113</v>
      </c>
    </row>
    <row r="137" spans="1:18" ht="17">
      <c r="A137" s="1" t="str">
        <f t="shared" si="19"/>
        <v>2020/05/10</v>
      </c>
      <c r="B137" s="1" t="str">
        <f>"16:00"</f>
        <v>16:00</v>
      </c>
      <c r="C137" s="2"/>
      <c r="D137" s="2">
        <f>350</f>
        <v>350</v>
      </c>
      <c r="E137" s="2"/>
      <c r="F137" s="2">
        <f t="shared" si="17"/>
        <v>0</v>
      </c>
      <c r="G137" s="2"/>
      <c r="H137" s="2">
        <f>1014.2582</f>
        <v>1014.2582</v>
      </c>
      <c r="I137" s="2"/>
      <c r="J137" s="2">
        <f>90.50916</f>
        <v>90.509159999999994</v>
      </c>
      <c r="K137" s="2"/>
      <c r="L137" s="2">
        <f>19.317629</f>
        <v>19.317629</v>
      </c>
      <c r="M137" s="2"/>
      <c r="N137" s="2">
        <f>75.60667</f>
        <v>75.606669999999994</v>
      </c>
      <c r="O137" s="2"/>
      <c r="P137" s="2">
        <f>0.694498</f>
        <v>0.69449799999999995</v>
      </c>
      <c r="Q137" s="2"/>
      <c r="R137" s="2">
        <f>1.2060328</f>
        <v>1.2060328</v>
      </c>
    </row>
    <row r="138" spans="1:18" ht="17">
      <c r="A138" s="1" t="str">
        <f t="shared" si="19"/>
        <v>2020/05/10</v>
      </c>
      <c r="B138" s="1" t="str">
        <f>"17:00"</f>
        <v>17:00</v>
      </c>
      <c r="C138" s="2"/>
      <c r="D138" s="2">
        <f>160</f>
        <v>160</v>
      </c>
      <c r="E138" s="2"/>
      <c r="F138" s="2">
        <f t="shared" si="17"/>
        <v>0</v>
      </c>
      <c r="G138" s="2"/>
      <c r="H138" s="2">
        <f>1013.51276</f>
        <v>1013.51276</v>
      </c>
      <c r="I138" s="2"/>
      <c r="J138" s="2">
        <f>259.31082</f>
        <v>259.31081999999998</v>
      </c>
      <c r="K138" s="2"/>
      <c r="L138" s="2">
        <f>20.841482</f>
        <v>20.841481999999999</v>
      </c>
      <c r="M138" s="2"/>
      <c r="N138" s="2">
        <f>67.745</f>
        <v>67.745000000000005</v>
      </c>
      <c r="O138" s="2"/>
      <c r="P138" s="2">
        <f>1.3913425</f>
        <v>1.3913424999999999</v>
      </c>
      <c r="Q138" s="2"/>
      <c r="R138" s="2">
        <f>2.2816553</f>
        <v>2.2816553000000002</v>
      </c>
    </row>
    <row r="139" spans="1:18" ht="17">
      <c r="A139" s="1" t="str">
        <f t="shared" si="19"/>
        <v>2020/05/10</v>
      </c>
      <c r="B139" s="1" t="str">
        <f>"18:00"</f>
        <v>18:00</v>
      </c>
      <c r="C139" s="2"/>
      <c r="D139" s="2">
        <f>163</f>
        <v>163</v>
      </c>
      <c r="E139" s="2"/>
      <c r="F139" s="2">
        <f t="shared" si="17"/>
        <v>0</v>
      </c>
      <c r="G139" s="2"/>
      <c r="H139" s="2">
        <f>1012.8351</f>
        <v>1012.8351</v>
      </c>
      <c r="I139" s="2"/>
      <c r="J139" s="2">
        <f>331.57916</f>
        <v>331.57916</v>
      </c>
      <c r="K139" s="2"/>
      <c r="L139" s="2">
        <f>22.9268</f>
        <v>22.9268</v>
      </c>
      <c r="M139" s="2"/>
      <c r="N139" s="2">
        <f>58.029167</f>
        <v>58.029167000000001</v>
      </c>
      <c r="O139" s="2"/>
      <c r="P139" s="2">
        <f>1.339558</f>
        <v>1.339558</v>
      </c>
      <c r="Q139" s="2"/>
      <c r="R139" s="2">
        <f>2.3151722</f>
        <v>2.3151722000000001</v>
      </c>
    </row>
    <row r="140" spans="1:18" ht="17">
      <c r="A140" s="1" t="str">
        <f t="shared" si="19"/>
        <v>2020/05/10</v>
      </c>
      <c r="B140" s="1" t="str">
        <f>"19:00"</f>
        <v>19:00</v>
      </c>
      <c r="C140" s="2"/>
      <c r="D140" s="2">
        <f>165</f>
        <v>165</v>
      </c>
      <c r="E140" s="2"/>
      <c r="F140" s="2">
        <f t="shared" si="17"/>
        <v>0</v>
      </c>
      <c r="G140" s="2"/>
      <c r="H140" s="2">
        <f>1012.6335</f>
        <v>1012.6335</v>
      </c>
      <c r="I140" s="2"/>
      <c r="J140" s="2">
        <f>174.95917</f>
        <v>174.95917</v>
      </c>
      <c r="K140" s="2"/>
      <c r="L140" s="2">
        <f>23.32174</f>
        <v>23.321739999999998</v>
      </c>
      <c r="M140" s="2"/>
      <c r="N140" s="2">
        <f>55.614166</f>
        <v>55.614165999999997</v>
      </c>
      <c r="O140" s="2"/>
      <c r="P140" s="2">
        <f>0.37549838</f>
        <v>0.37549838000000002</v>
      </c>
      <c r="Q140" s="2"/>
      <c r="R140" s="2">
        <f>2.1905284</f>
        <v>2.1905283999999998</v>
      </c>
    </row>
    <row r="141" spans="1:18" ht="17">
      <c r="A141" s="1" t="str">
        <f t="shared" si="19"/>
        <v>2020/05/10</v>
      </c>
      <c r="B141" s="1" t="str">
        <f>"20:00"</f>
        <v>20:00</v>
      </c>
      <c r="C141" s="2"/>
      <c r="D141" s="2">
        <f>161</f>
        <v>161</v>
      </c>
      <c r="E141" s="2"/>
      <c r="F141" s="2">
        <f t="shared" si="17"/>
        <v>0</v>
      </c>
      <c r="G141" s="2"/>
      <c r="H141" s="2">
        <f>1012.54535</f>
        <v>1012.54535</v>
      </c>
      <c r="I141" s="2"/>
      <c r="J141" s="2">
        <f>27.9625</f>
        <v>27.962499999999999</v>
      </c>
      <c r="K141" s="2"/>
      <c r="L141" s="2">
        <f>21.540707</f>
        <v>21.540707000000001</v>
      </c>
      <c r="M141" s="2"/>
      <c r="N141" s="2">
        <f>63.446667</f>
        <v>63.446666999999998</v>
      </c>
      <c r="O141" s="2"/>
      <c r="P141" s="2">
        <f t="shared" ref="P141:P152" si="20">0</f>
        <v>0</v>
      </c>
      <c r="Q141" s="2"/>
      <c r="R141" s="2">
        <f>2.1982234</f>
        <v>2.1982233999999998</v>
      </c>
    </row>
    <row r="142" spans="1:18" ht="17">
      <c r="A142" s="1" t="str">
        <f t="shared" si="19"/>
        <v>2020/05/10</v>
      </c>
      <c r="B142" s="1" t="str">
        <f>"21:00"</f>
        <v>21:00</v>
      </c>
      <c r="C142" s="2"/>
      <c r="D142" s="2">
        <f>166</f>
        <v>166</v>
      </c>
      <c r="E142" s="2"/>
      <c r="F142" s="2">
        <f t="shared" si="17"/>
        <v>0</v>
      </c>
      <c r="G142" s="2"/>
      <c r="H142" s="2">
        <f>1012.7189</f>
        <v>1012.7189</v>
      </c>
      <c r="I142" s="2"/>
      <c r="J142" s="2">
        <f t="shared" ref="J142:J150" si="21">0</f>
        <v>0</v>
      </c>
      <c r="K142" s="2"/>
      <c r="L142" s="2">
        <f>19.026451</f>
        <v>19.026451000000002</v>
      </c>
      <c r="M142" s="2"/>
      <c r="N142" s="2">
        <f>70.99084</f>
        <v>70.990840000000006</v>
      </c>
      <c r="O142" s="2"/>
      <c r="P142" s="2">
        <f t="shared" si="20"/>
        <v>0</v>
      </c>
      <c r="Q142" s="2"/>
      <c r="R142" s="2">
        <f>1.8538041</f>
        <v>1.8538041000000001</v>
      </c>
    </row>
    <row r="143" spans="1:18" ht="17">
      <c r="A143" s="1" t="str">
        <f t="shared" si="19"/>
        <v>2020/05/10</v>
      </c>
      <c r="B143" s="1" t="str">
        <f>"22:00"</f>
        <v>22:00</v>
      </c>
      <c r="C143" s="2"/>
      <c r="D143" s="2">
        <f>159</f>
        <v>159</v>
      </c>
      <c r="E143" s="2"/>
      <c r="F143" s="2">
        <f t="shared" si="17"/>
        <v>0</v>
      </c>
      <c r="G143" s="2"/>
      <c r="H143" s="2">
        <f>1013.05304</f>
        <v>1013.05304</v>
      </c>
      <c r="I143" s="2"/>
      <c r="J143" s="2">
        <f t="shared" si="21"/>
        <v>0</v>
      </c>
      <c r="K143" s="2"/>
      <c r="L143" s="2">
        <f>18.116209</f>
        <v>18.116209000000001</v>
      </c>
      <c r="M143" s="2"/>
      <c r="N143" s="2">
        <f>73.795</f>
        <v>73.795000000000002</v>
      </c>
      <c r="O143" s="2"/>
      <c r="P143" s="2">
        <f t="shared" si="20"/>
        <v>0</v>
      </c>
      <c r="Q143" s="2"/>
      <c r="R143" s="2">
        <f>1.7618576</f>
        <v>1.7618575999999999</v>
      </c>
    </row>
    <row r="144" spans="1:18" ht="17">
      <c r="A144" s="1" t="str">
        <f t="shared" si="19"/>
        <v>2020/05/10</v>
      </c>
      <c r="B144" s="1" t="str">
        <f>"23:00"</f>
        <v>23:00</v>
      </c>
      <c r="C144" s="2"/>
      <c r="D144" s="2">
        <f>156</f>
        <v>156</v>
      </c>
      <c r="E144" s="2"/>
      <c r="F144" s="2">
        <f t="shared" si="17"/>
        <v>0</v>
      </c>
      <c r="G144" s="2"/>
      <c r="H144" s="2">
        <f>1013.1934</f>
        <v>1013.1934</v>
      </c>
      <c r="I144" s="2"/>
      <c r="J144" s="2">
        <f t="shared" si="21"/>
        <v>0</v>
      </c>
      <c r="K144" s="2"/>
      <c r="L144" s="2">
        <f>17.850512</f>
        <v>17.850511999999998</v>
      </c>
      <c r="M144" s="2"/>
      <c r="N144" s="2">
        <f>75.465836</f>
        <v>75.465835999999996</v>
      </c>
      <c r="O144" s="2"/>
      <c r="P144" s="2">
        <f t="shared" si="20"/>
        <v>0</v>
      </c>
      <c r="Q144" s="2"/>
      <c r="R144" s="2">
        <f>1.7803692</f>
        <v>1.7803692</v>
      </c>
    </row>
    <row r="145" spans="1:18" ht="17">
      <c r="A145" s="1" t="str">
        <f t="shared" si="19"/>
        <v>2020/05/10</v>
      </c>
      <c r="B145" s="1" t="str">
        <f>"24:00"</f>
        <v>24:00</v>
      </c>
      <c r="C145" s="2"/>
      <c r="D145" s="2">
        <f>156</f>
        <v>156</v>
      </c>
      <c r="E145" s="2"/>
      <c r="F145" s="2">
        <f t="shared" si="17"/>
        <v>0</v>
      </c>
      <c r="G145" s="2"/>
      <c r="H145" s="2">
        <f>1012.73535</f>
        <v>1012.73535</v>
      </c>
      <c r="I145" s="2"/>
      <c r="J145" s="2">
        <f t="shared" si="21"/>
        <v>0</v>
      </c>
      <c r="K145" s="2"/>
      <c r="L145" s="2">
        <f>17.432089</f>
        <v>17.432089000000001</v>
      </c>
      <c r="M145" s="2"/>
      <c r="N145" s="2">
        <f>76.78167</f>
        <v>76.781670000000005</v>
      </c>
      <c r="O145" s="2"/>
      <c r="P145" s="2">
        <f t="shared" si="20"/>
        <v>0</v>
      </c>
      <c r="Q145" s="2"/>
      <c r="R145" s="2">
        <f>1.8866929</f>
        <v>1.8866928999999999</v>
      </c>
    </row>
    <row r="146" spans="1:18" ht="17">
      <c r="A146" s="1" t="str">
        <f t="shared" ref="A146:A169" si="22">"2020/05/11"</f>
        <v>2020/05/11</v>
      </c>
      <c r="B146" s="1" t="str">
        <f>"01:00"</f>
        <v>01:00</v>
      </c>
      <c r="C146" s="2">
        <f>172.41667</f>
        <v>172.41667000000001</v>
      </c>
      <c r="D146" s="2">
        <f>158</f>
        <v>158</v>
      </c>
      <c r="E146" s="2">
        <f>0</f>
        <v>0</v>
      </c>
      <c r="F146" s="2">
        <f t="shared" si="17"/>
        <v>0</v>
      </c>
      <c r="G146" s="2">
        <f>1009.47095</f>
        <v>1009.47095</v>
      </c>
      <c r="H146" s="2">
        <f>1012.0808</f>
        <v>1012.0808</v>
      </c>
      <c r="I146" s="2">
        <f>155.12965</f>
        <v>155.12965</v>
      </c>
      <c r="J146" s="2">
        <f t="shared" si="21"/>
        <v>0</v>
      </c>
      <c r="K146" s="2">
        <f>20.28646</f>
        <v>20.286460000000002</v>
      </c>
      <c r="L146" s="2">
        <f>17.094908</f>
        <v>17.094908</v>
      </c>
      <c r="M146" s="2">
        <f>70.2271</f>
        <v>70.227099999999993</v>
      </c>
      <c r="N146" s="2">
        <f>78.714485</f>
        <v>78.714484999999996</v>
      </c>
      <c r="O146" s="2">
        <f>0.8796604</f>
        <v>0.87966040000000001</v>
      </c>
      <c r="P146" s="2">
        <f t="shared" si="20"/>
        <v>0</v>
      </c>
      <c r="Q146" s="2">
        <f>1.9747975</f>
        <v>1.9747975</v>
      </c>
      <c r="R146" s="2">
        <f>1.928763</f>
        <v>1.928763</v>
      </c>
    </row>
    <row r="147" spans="1:18" ht="17">
      <c r="A147" s="1" t="str">
        <f t="shared" si="22"/>
        <v>2020/05/11</v>
      </c>
      <c r="B147" s="1" t="str">
        <f>"02:00"</f>
        <v>02:00</v>
      </c>
      <c r="C147" s="2"/>
      <c r="D147" s="2">
        <f>155</f>
        <v>155</v>
      </c>
      <c r="E147" s="2"/>
      <c r="F147" s="2">
        <f t="shared" si="17"/>
        <v>0</v>
      </c>
      <c r="G147" s="2"/>
      <c r="H147" s="2">
        <f>1011.3343</f>
        <v>1011.3343</v>
      </c>
      <c r="I147" s="2"/>
      <c r="J147" s="2">
        <f t="shared" si="21"/>
        <v>0</v>
      </c>
      <c r="K147" s="2"/>
      <c r="L147" s="2">
        <f>17.17341</f>
        <v>17.173410000000001</v>
      </c>
      <c r="M147" s="2"/>
      <c r="N147" s="2">
        <f>79</f>
        <v>79</v>
      </c>
      <c r="O147" s="2"/>
      <c r="P147" s="2">
        <f t="shared" si="20"/>
        <v>0</v>
      </c>
      <c r="Q147" s="2"/>
      <c r="R147" s="2">
        <f>1.7839396</f>
        <v>1.7839396000000001</v>
      </c>
    </row>
    <row r="148" spans="1:18" ht="17">
      <c r="A148" s="1" t="str">
        <f t="shared" si="22"/>
        <v>2020/05/11</v>
      </c>
      <c r="B148" s="1" t="str">
        <f>"03:00"</f>
        <v>03:00</v>
      </c>
      <c r="C148" s="2"/>
      <c r="D148" s="2">
        <f>162</f>
        <v>162</v>
      </c>
      <c r="E148" s="2"/>
      <c r="F148" s="2">
        <f t="shared" si="17"/>
        <v>0</v>
      </c>
      <c r="G148" s="2"/>
      <c r="H148" s="2">
        <f>1011.07605</f>
        <v>1011.07605</v>
      </c>
      <c r="I148" s="2"/>
      <c r="J148" s="2">
        <f t="shared" si="21"/>
        <v>0</v>
      </c>
      <c r="K148" s="2"/>
      <c r="L148" s="2">
        <f>17.019989</f>
        <v>17.019988999999999</v>
      </c>
      <c r="M148" s="2"/>
      <c r="N148" s="2">
        <f>79.493614</f>
        <v>79.493613999999994</v>
      </c>
      <c r="O148" s="2"/>
      <c r="P148" s="2">
        <f t="shared" si="20"/>
        <v>0</v>
      </c>
      <c r="Q148" s="2"/>
      <c r="R148" s="2">
        <f>1.731608</f>
        <v>1.731608</v>
      </c>
    </row>
    <row r="149" spans="1:18" ht="17">
      <c r="A149" s="1" t="str">
        <f t="shared" si="22"/>
        <v>2020/05/11</v>
      </c>
      <c r="B149" s="1" t="str">
        <f>"04:00"</f>
        <v>04:00</v>
      </c>
      <c r="C149" s="2"/>
      <c r="D149" s="2">
        <f>158</f>
        <v>158</v>
      </c>
      <c r="E149" s="2"/>
      <c r="F149" s="2">
        <f t="shared" si="17"/>
        <v>0</v>
      </c>
      <c r="G149" s="2"/>
      <c r="H149" s="2">
        <f>1010.69104</f>
        <v>1010.69104</v>
      </c>
      <c r="I149" s="2"/>
      <c r="J149" s="2">
        <f t="shared" si="21"/>
        <v>0</v>
      </c>
      <c r="K149" s="2"/>
      <c r="L149" s="2">
        <f>16.766502</f>
        <v>16.766501999999999</v>
      </c>
      <c r="M149" s="2"/>
      <c r="N149" s="2">
        <f>80.25528</f>
        <v>80.255279999999999</v>
      </c>
      <c r="O149" s="2"/>
      <c r="P149" s="2">
        <f t="shared" si="20"/>
        <v>0</v>
      </c>
      <c r="Q149" s="2"/>
      <c r="R149" s="2">
        <f>1.637272</f>
        <v>1.6372720000000001</v>
      </c>
    </row>
    <row r="150" spans="1:18" ht="17">
      <c r="A150" s="1" t="str">
        <f t="shared" si="22"/>
        <v>2020/05/11</v>
      </c>
      <c r="B150" s="1" t="str">
        <f>"05:00"</f>
        <v>05:00</v>
      </c>
      <c r="C150" s="2"/>
      <c r="D150" s="2">
        <f>158</f>
        <v>158</v>
      </c>
      <c r="E150" s="2"/>
      <c r="F150" s="2">
        <f t="shared" si="17"/>
        <v>0</v>
      </c>
      <c r="G150" s="2"/>
      <c r="H150" s="2">
        <f>1010.3001</f>
        <v>1010.3001</v>
      </c>
      <c r="I150" s="2"/>
      <c r="J150" s="2">
        <f t="shared" si="21"/>
        <v>0</v>
      </c>
      <c r="K150" s="2"/>
      <c r="L150" s="2">
        <f>16.513378</f>
        <v>16.513377999999999</v>
      </c>
      <c r="M150" s="2"/>
      <c r="N150" s="2">
        <f>81.47361</f>
        <v>81.473609999999994</v>
      </c>
      <c r="O150" s="2"/>
      <c r="P150" s="2">
        <f t="shared" si="20"/>
        <v>0</v>
      </c>
      <c r="Q150" s="2"/>
      <c r="R150" s="2">
        <f>1.2880014</f>
        <v>1.2880014</v>
      </c>
    </row>
    <row r="151" spans="1:18" ht="17">
      <c r="A151" s="1" t="str">
        <f t="shared" si="22"/>
        <v>2020/05/11</v>
      </c>
      <c r="B151" s="1" t="str">
        <f>"06:00"</f>
        <v>06:00</v>
      </c>
      <c r="C151" s="2"/>
      <c r="D151" s="2">
        <f>157</f>
        <v>157</v>
      </c>
      <c r="E151" s="2"/>
      <c r="F151" s="2">
        <f t="shared" si="17"/>
        <v>0</v>
      </c>
      <c r="G151" s="2"/>
      <c r="H151" s="2">
        <f>1010.20605</f>
        <v>1010.20605</v>
      </c>
      <c r="I151" s="2"/>
      <c r="J151" s="2">
        <f>2.8588889</f>
        <v>2.8588889000000002</v>
      </c>
      <c r="K151" s="2"/>
      <c r="L151" s="2">
        <f>16.200357</f>
        <v>16.200357</v>
      </c>
      <c r="M151" s="2"/>
      <c r="N151" s="2">
        <f>82.60528</f>
        <v>82.605279999999993</v>
      </c>
      <c r="O151" s="2"/>
      <c r="P151" s="2">
        <f t="shared" si="20"/>
        <v>0</v>
      </c>
      <c r="Q151" s="2"/>
      <c r="R151" s="2">
        <f>1.5076796</f>
        <v>1.5076795999999999</v>
      </c>
    </row>
    <row r="152" spans="1:18" ht="17">
      <c r="A152" s="1" t="str">
        <f t="shared" si="22"/>
        <v>2020/05/11</v>
      </c>
      <c r="B152" s="1" t="str">
        <f>"07:00"</f>
        <v>07:00</v>
      </c>
      <c r="C152" s="2"/>
      <c r="D152" s="2">
        <f>162</f>
        <v>162</v>
      </c>
      <c r="E152" s="2"/>
      <c r="F152" s="2">
        <f t="shared" si="17"/>
        <v>0</v>
      </c>
      <c r="G152" s="2"/>
      <c r="H152" s="2">
        <f>1010.0969</f>
        <v>1010.0969</v>
      </c>
      <c r="I152" s="2"/>
      <c r="J152" s="2">
        <f>44.383335</f>
        <v>44.383335000000002</v>
      </c>
      <c r="K152" s="2"/>
      <c r="L152" s="2">
        <f>16.110361</f>
        <v>16.110361000000001</v>
      </c>
      <c r="M152" s="2"/>
      <c r="N152" s="2">
        <f>82.98972</f>
        <v>82.989720000000005</v>
      </c>
      <c r="O152" s="2"/>
      <c r="P152" s="2">
        <f t="shared" si="20"/>
        <v>0</v>
      </c>
      <c r="Q152" s="2"/>
      <c r="R152" s="2">
        <f>1.835628</f>
        <v>1.835628</v>
      </c>
    </row>
    <row r="153" spans="1:18" ht="17">
      <c r="A153" s="1" t="str">
        <f t="shared" si="22"/>
        <v>2020/05/11</v>
      </c>
      <c r="B153" s="1" t="str">
        <f>"08:00"</f>
        <v>08:00</v>
      </c>
      <c r="C153" s="2"/>
      <c r="D153" s="2">
        <f>159</f>
        <v>159</v>
      </c>
      <c r="E153" s="2"/>
      <c r="F153" s="2">
        <f t="shared" si="17"/>
        <v>0</v>
      </c>
      <c r="G153" s="2"/>
      <c r="H153" s="2">
        <f>1009.245</f>
        <v>1009.245</v>
      </c>
      <c r="I153" s="2"/>
      <c r="J153" s="2">
        <f>169.15306</f>
        <v>169.15306000000001</v>
      </c>
      <c r="K153" s="2"/>
      <c r="L153" s="2">
        <f>17.266853</f>
        <v>17.266853000000001</v>
      </c>
      <c r="M153" s="2"/>
      <c r="N153" s="2">
        <f>80.594444</f>
        <v>80.594443999999996</v>
      </c>
      <c r="O153" s="2"/>
      <c r="P153" s="2">
        <f>0.48202878</f>
        <v>0.48202877999999999</v>
      </c>
      <c r="Q153" s="2"/>
      <c r="R153" s="2">
        <f>2.4931314</f>
        <v>2.4931314000000002</v>
      </c>
    </row>
    <row r="154" spans="1:18" ht="17">
      <c r="A154" s="1" t="str">
        <f t="shared" si="22"/>
        <v>2020/05/11</v>
      </c>
      <c r="B154" s="1" t="str">
        <f>"09:00"</f>
        <v>09:00</v>
      </c>
      <c r="C154" s="2"/>
      <c r="D154" s="2">
        <f>153</f>
        <v>153</v>
      </c>
      <c r="E154" s="2"/>
      <c r="F154" s="2">
        <f t="shared" si="17"/>
        <v>0</v>
      </c>
      <c r="G154" s="2"/>
      <c r="H154" s="2">
        <f>1010.0056</f>
        <v>1010.0056</v>
      </c>
      <c r="I154" s="2"/>
      <c r="J154" s="2">
        <f>221.44528</f>
        <v>221.44528</v>
      </c>
      <c r="K154" s="2"/>
      <c r="L154" s="2">
        <f>19.499056</f>
        <v>19.499056</v>
      </c>
      <c r="M154" s="2"/>
      <c r="N154" s="2">
        <f>71.15361</f>
        <v>71.15361</v>
      </c>
      <c r="O154" s="2"/>
      <c r="P154" s="2">
        <f>1.1625602</f>
        <v>1.1625601999999999</v>
      </c>
      <c r="Q154" s="2"/>
      <c r="R154" s="2">
        <f>1.2242237</f>
        <v>1.2242237</v>
      </c>
    </row>
    <row r="155" spans="1:18" ht="17">
      <c r="A155" s="1" t="str">
        <f t="shared" si="22"/>
        <v>2020/05/11</v>
      </c>
      <c r="B155" s="1" t="str">
        <f>"10:00"</f>
        <v>10:00</v>
      </c>
      <c r="C155" s="2"/>
      <c r="D155" s="2">
        <f>156</f>
        <v>156</v>
      </c>
      <c r="E155" s="2"/>
      <c r="F155" s="2">
        <f t="shared" si="17"/>
        <v>0</v>
      </c>
      <c r="G155" s="2"/>
      <c r="H155" s="2">
        <f>1010.91327</f>
        <v>1010.91327</v>
      </c>
      <c r="I155" s="2"/>
      <c r="J155" s="2">
        <f>253.295</f>
        <v>253.29499999999999</v>
      </c>
      <c r="K155" s="2"/>
      <c r="L155" s="2">
        <f>20.634937</f>
        <v>20.634937000000001</v>
      </c>
      <c r="M155" s="2"/>
      <c r="N155" s="2">
        <f>66.94111</f>
        <v>66.941109999999995</v>
      </c>
      <c r="O155" s="2"/>
      <c r="P155" s="2">
        <f>1.327658</f>
        <v>1.327658</v>
      </c>
      <c r="Q155" s="2"/>
      <c r="R155" s="2">
        <f>1.9113638</f>
        <v>1.9113637999999999</v>
      </c>
    </row>
    <row r="156" spans="1:18" ht="17">
      <c r="A156" s="1" t="str">
        <f t="shared" si="22"/>
        <v>2020/05/11</v>
      </c>
      <c r="B156" s="1" t="str">
        <f>"11:00"</f>
        <v>11:00</v>
      </c>
      <c r="C156" s="2"/>
      <c r="D156" s="2">
        <f>165</f>
        <v>165</v>
      </c>
      <c r="E156" s="2"/>
      <c r="F156" s="2">
        <f t="shared" si="17"/>
        <v>0</v>
      </c>
      <c r="G156" s="2"/>
      <c r="H156" s="2">
        <f>1010.40125</f>
        <v>1010.40125</v>
      </c>
      <c r="I156" s="2"/>
      <c r="J156" s="2">
        <f>209.55028</f>
        <v>209.55027999999999</v>
      </c>
      <c r="K156" s="2"/>
      <c r="L156" s="2">
        <f>20.553202</f>
        <v>20.553201999999999</v>
      </c>
      <c r="M156" s="2"/>
      <c r="N156" s="2">
        <f>67.63695</f>
        <v>67.636949999999999</v>
      </c>
      <c r="O156" s="2"/>
      <c r="P156" s="2">
        <f>1.3112503</f>
        <v>1.3112503</v>
      </c>
      <c r="Q156" s="2"/>
      <c r="R156" s="2">
        <f>2.7269998</f>
        <v>2.7269998000000002</v>
      </c>
    </row>
    <row r="157" spans="1:18" ht="17">
      <c r="A157" s="1" t="str">
        <f t="shared" si="22"/>
        <v>2020/05/11</v>
      </c>
      <c r="B157" s="1" t="str">
        <f>"12:00"</f>
        <v>12:00</v>
      </c>
      <c r="C157" s="2"/>
      <c r="D157" s="2">
        <f>159</f>
        <v>159</v>
      </c>
      <c r="E157" s="2"/>
      <c r="F157" s="2">
        <f t="shared" si="17"/>
        <v>0</v>
      </c>
      <c r="G157" s="2"/>
      <c r="H157" s="2">
        <f>1009.7572</f>
        <v>1009.7572</v>
      </c>
      <c r="I157" s="2"/>
      <c r="J157" s="2">
        <f>178.95667</f>
        <v>178.95667</v>
      </c>
      <c r="K157" s="2"/>
      <c r="L157" s="2">
        <f>20.429733</f>
        <v>20.429732999999999</v>
      </c>
      <c r="M157" s="2"/>
      <c r="N157" s="2">
        <f>69.69222</f>
        <v>69.692220000000006</v>
      </c>
      <c r="O157" s="2"/>
      <c r="P157" s="2">
        <f>1.2520459</f>
        <v>1.2520458999999999</v>
      </c>
      <c r="Q157" s="2"/>
      <c r="R157" s="2">
        <f>2.2794116</f>
        <v>2.2794116</v>
      </c>
    </row>
    <row r="158" spans="1:18" ht="17">
      <c r="A158" s="1" t="str">
        <f t="shared" si="22"/>
        <v>2020/05/11</v>
      </c>
      <c r="B158" s="1" t="str">
        <f>"13:00"</f>
        <v>13:00</v>
      </c>
      <c r="C158" s="2"/>
      <c r="D158" s="2">
        <f>164</f>
        <v>164</v>
      </c>
      <c r="E158" s="2"/>
      <c r="F158" s="2">
        <f t="shared" si="17"/>
        <v>0</v>
      </c>
      <c r="G158" s="2"/>
      <c r="H158" s="2">
        <f>1009.0852</f>
        <v>1009.0852</v>
      </c>
      <c r="I158" s="2"/>
      <c r="J158" s="2">
        <f>285.9</f>
        <v>285.89999999999998</v>
      </c>
      <c r="K158" s="2"/>
      <c r="L158" s="2">
        <f>20.918823</f>
        <v>20.918823</v>
      </c>
      <c r="M158" s="2"/>
      <c r="N158" s="2">
        <f>68.99944</f>
        <v>68.999440000000007</v>
      </c>
      <c r="O158" s="2"/>
      <c r="P158" s="2">
        <f>2.0670824</f>
        <v>2.0670823999999999</v>
      </c>
      <c r="Q158" s="2"/>
      <c r="R158" s="2">
        <f>2.7981923</f>
        <v>2.7981923000000002</v>
      </c>
    </row>
    <row r="159" spans="1:18" ht="17">
      <c r="A159" s="1" t="str">
        <f t="shared" si="22"/>
        <v>2020/05/11</v>
      </c>
      <c r="B159" s="1" t="str">
        <f>"14:00"</f>
        <v>14:00</v>
      </c>
      <c r="C159" s="2"/>
      <c r="D159" s="2">
        <f>170</f>
        <v>170</v>
      </c>
      <c r="E159" s="2"/>
      <c r="F159" s="2">
        <f t="shared" si="17"/>
        <v>0</v>
      </c>
      <c r="G159" s="2"/>
      <c r="H159" s="2">
        <f>1008.2012</f>
        <v>1008.2012</v>
      </c>
      <c r="I159" s="2"/>
      <c r="J159" s="2">
        <f>379.91833</f>
        <v>379.91833000000003</v>
      </c>
      <c r="K159" s="2"/>
      <c r="L159" s="2">
        <f>21.742907</f>
        <v>21.742906999999999</v>
      </c>
      <c r="M159" s="2"/>
      <c r="N159" s="2">
        <f>67.132774</f>
        <v>67.132773999999998</v>
      </c>
      <c r="O159" s="2"/>
      <c r="P159" s="2">
        <f>2.8109508</f>
        <v>2.8109508000000001</v>
      </c>
      <c r="Q159" s="2"/>
      <c r="R159" s="2">
        <f>2.929131</f>
        <v>2.9291309999999999</v>
      </c>
    </row>
    <row r="160" spans="1:18" ht="17">
      <c r="A160" s="1" t="str">
        <f t="shared" si="22"/>
        <v>2020/05/11</v>
      </c>
      <c r="B160" s="1" t="str">
        <f>"15:00"</f>
        <v>15:00</v>
      </c>
      <c r="C160" s="2"/>
      <c r="D160" s="2">
        <f>153</f>
        <v>153</v>
      </c>
      <c r="E160" s="2"/>
      <c r="F160" s="2">
        <f t="shared" si="17"/>
        <v>0</v>
      </c>
      <c r="G160" s="2"/>
      <c r="H160" s="2">
        <f>1007.9182</f>
        <v>1007.9182</v>
      </c>
      <c r="I160" s="2"/>
      <c r="J160" s="2">
        <f>701.3678</f>
        <v>701.36779999999999</v>
      </c>
      <c r="K160" s="2"/>
      <c r="L160" s="2">
        <f>23.26091</f>
        <v>23.260909999999999</v>
      </c>
      <c r="M160" s="2"/>
      <c r="N160" s="2">
        <f>63.384724</f>
        <v>63.384723999999999</v>
      </c>
      <c r="O160" s="2"/>
      <c r="P160" s="2">
        <f>4.433693</f>
        <v>4.4336929999999999</v>
      </c>
      <c r="Q160" s="2"/>
      <c r="R160" s="2">
        <f>2.5833333</f>
        <v>2.5833333000000001</v>
      </c>
    </row>
    <row r="161" spans="1:18" ht="17">
      <c r="A161" s="1" t="str">
        <f t="shared" si="22"/>
        <v>2020/05/11</v>
      </c>
      <c r="B161" s="1" t="str">
        <f>"16:00"</f>
        <v>16:00</v>
      </c>
      <c r="C161" s="2"/>
      <c r="D161" s="2">
        <f>165</f>
        <v>165</v>
      </c>
      <c r="E161" s="2"/>
      <c r="F161" s="2">
        <f t="shared" si="17"/>
        <v>0</v>
      </c>
      <c r="G161" s="2"/>
      <c r="H161" s="2">
        <f>1007.7665</f>
        <v>1007.7665</v>
      </c>
      <c r="I161" s="2"/>
      <c r="J161" s="2">
        <f>462.28305</f>
        <v>462.28305</v>
      </c>
      <c r="K161" s="2"/>
      <c r="L161" s="2">
        <f>24.908142</f>
        <v>24.908142000000002</v>
      </c>
      <c r="M161" s="2"/>
      <c r="N161" s="2">
        <f>58.143612</f>
        <v>58.143611999999997</v>
      </c>
      <c r="O161" s="2"/>
      <c r="P161" s="2">
        <f>2.7523122</f>
        <v>2.7523122</v>
      </c>
      <c r="Q161" s="2"/>
      <c r="R161" s="2">
        <f>2.6360795</f>
        <v>2.6360795000000001</v>
      </c>
    </row>
    <row r="162" spans="1:18" ht="17">
      <c r="A162" s="1" t="str">
        <f t="shared" si="22"/>
        <v>2020/05/11</v>
      </c>
      <c r="B162" s="1" t="str">
        <f>"17:00"</f>
        <v>17:00</v>
      </c>
      <c r="C162" s="2"/>
      <c r="D162" s="2">
        <f>165</f>
        <v>165</v>
      </c>
      <c r="E162" s="2"/>
      <c r="F162" s="2">
        <f t="shared" si="17"/>
        <v>0</v>
      </c>
      <c r="G162" s="2"/>
      <c r="H162" s="2">
        <f>1007.5157</f>
        <v>1007.5157</v>
      </c>
      <c r="I162" s="2"/>
      <c r="J162" s="2">
        <f>341.69778</f>
        <v>341.69778000000002</v>
      </c>
      <c r="K162" s="2"/>
      <c r="L162" s="2">
        <f>24.884598</f>
        <v>24.884598</v>
      </c>
      <c r="M162" s="2"/>
      <c r="N162" s="2">
        <f>58.75778</f>
        <v>58.757779999999997</v>
      </c>
      <c r="O162" s="2"/>
      <c r="P162" s="2">
        <f>1.8710988</f>
        <v>1.8710988</v>
      </c>
      <c r="Q162" s="2"/>
      <c r="R162" s="2">
        <f>2.2526472</f>
        <v>2.2526472000000002</v>
      </c>
    </row>
    <row r="163" spans="1:18" ht="17">
      <c r="A163" s="1" t="str">
        <f t="shared" si="22"/>
        <v>2020/05/11</v>
      </c>
      <c r="B163" s="1" t="str">
        <f>"18:00"</f>
        <v>18:00</v>
      </c>
      <c r="C163" s="2"/>
      <c r="D163" s="2">
        <f>157</f>
        <v>157</v>
      </c>
      <c r="E163" s="2"/>
      <c r="F163" s="2">
        <f t="shared" si="17"/>
        <v>0</v>
      </c>
      <c r="G163" s="2"/>
      <c r="H163" s="2">
        <f>1007.4778</f>
        <v>1007.4778</v>
      </c>
      <c r="I163" s="2"/>
      <c r="J163" s="2">
        <f>303.14944</f>
        <v>303.14944000000003</v>
      </c>
      <c r="K163" s="2"/>
      <c r="L163" s="2">
        <f>24.916328</f>
        <v>24.916328</v>
      </c>
      <c r="M163" s="2"/>
      <c r="N163" s="2">
        <f>58.461945</f>
        <v>58.461945</v>
      </c>
      <c r="O163" s="2"/>
      <c r="P163" s="2">
        <f>1.2957546</f>
        <v>1.2957546</v>
      </c>
      <c r="Q163" s="2"/>
      <c r="R163" s="2">
        <f>2.3632452</f>
        <v>2.3632452000000002</v>
      </c>
    </row>
    <row r="164" spans="1:18" ht="17">
      <c r="A164" s="1" t="str">
        <f t="shared" si="22"/>
        <v>2020/05/11</v>
      </c>
      <c r="B164" s="1" t="str">
        <f>"19:00"</f>
        <v>19:00</v>
      </c>
      <c r="C164" s="2"/>
      <c r="D164" s="2">
        <f>154</f>
        <v>154</v>
      </c>
      <c r="E164" s="2"/>
      <c r="F164" s="2">
        <f t="shared" si="17"/>
        <v>0</v>
      </c>
      <c r="G164" s="2"/>
      <c r="H164" s="2">
        <f>1007.78217</f>
        <v>1007.78217</v>
      </c>
      <c r="I164" s="2"/>
      <c r="J164" s="2">
        <f>140.32584</f>
        <v>140.32584</v>
      </c>
      <c r="K164" s="2"/>
      <c r="L164" s="2">
        <f>24.552511</f>
        <v>24.552510999999999</v>
      </c>
      <c r="M164" s="2"/>
      <c r="N164" s="2">
        <f>60.944443</f>
        <v>60.944443</v>
      </c>
      <c r="O164" s="2"/>
      <c r="P164" s="2">
        <f>0.3454149</f>
        <v>0.34541490000000002</v>
      </c>
      <c r="Q164" s="2"/>
      <c r="R164" s="2">
        <f>1.2013043</f>
        <v>1.2013043000000001</v>
      </c>
    </row>
    <row r="165" spans="1:18" ht="17">
      <c r="A165" s="1" t="str">
        <f t="shared" si="22"/>
        <v>2020/05/11</v>
      </c>
      <c r="B165" s="1" t="str">
        <f>"20:00"</f>
        <v>20:00</v>
      </c>
      <c r="C165" s="2"/>
      <c r="D165" s="2">
        <f>68</f>
        <v>68</v>
      </c>
      <c r="E165" s="2"/>
      <c r="F165" s="2">
        <f t="shared" si="17"/>
        <v>0</v>
      </c>
      <c r="G165" s="2"/>
      <c r="H165" s="2">
        <f>1008.1247</f>
        <v>1008.1247</v>
      </c>
      <c r="I165" s="2"/>
      <c r="J165" s="2">
        <f>28.645</f>
        <v>28.645</v>
      </c>
      <c r="K165" s="2"/>
      <c r="L165" s="2">
        <f>23.211782</f>
        <v>23.211781999999999</v>
      </c>
      <c r="M165" s="2"/>
      <c r="N165" s="2">
        <f>65.297775</f>
        <v>65.297775000000001</v>
      </c>
      <c r="O165" s="2"/>
      <c r="P165" s="2">
        <f t="shared" ref="P165:P176" si="23">0</f>
        <v>0</v>
      </c>
      <c r="Q165" s="2"/>
      <c r="R165" s="2">
        <f>0.8671874</f>
        <v>0.86718740000000005</v>
      </c>
    </row>
    <row r="166" spans="1:18" ht="17">
      <c r="A166" s="1" t="str">
        <f t="shared" si="22"/>
        <v>2020/05/11</v>
      </c>
      <c r="B166" s="1" t="str">
        <f>"21:00"</f>
        <v>21:00</v>
      </c>
      <c r="C166" s="2"/>
      <c r="D166" s="2">
        <f>163</f>
        <v>163</v>
      </c>
      <c r="E166" s="2"/>
      <c r="F166" s="2">
        <f t="shared" si="17"/>
        <v>0</v>
      </c>
      <c r="G166" s="2"/>
      <c r="H166" s="2">
        <f>1008.5651</f>
        <v>1008.5651</v>
      </c>
      <c r="I166" s="2"/>
      <c r="J166" s="2">
        <f>0.18194444</f>
        <v>0.18194444000000001</v>
      </c>
      <c r="K166" s="2"/>
      <c r="L166" s="2">
        <f>21.547314</f>
        <v>21.547314</v>
      </c>
      <c r="M166" s="2"/>
      <c r="N166" s="2">
        <f>70.598335</f>
        <v>70.598335000000006</v>
      </c>
      <c r="O166" s="2"/>
      <c r="P166" s="2">
        <f t="shared" si="23"/>
        <v>0</v>
      </c>
      <c r="Q166" s="2"/>
      <c r="R166" s="2">
        <f>1.6777005</f>
        <v>1.6777005</v>
      </c>
    </row>
    <row r="167" spans="1:18" ht="17">
      <c r="A167" s="1" t="str">
        <f t="shared" si="22"/>
        <v>2020/05/11</v>
      </c>
      <c r="B167" s="1" t="str">
        <f>"22:00"</f>
        <v>22:00</v>
      </c>
      <c r="C167" s="2"/>
      <c r="D167" s="2">
        <f>297</f>
        <v>297</v>
      </c>
      <c r="E167" s="2"/>
      <c r="F167" s="2">
        <f t="shared" si="17"/>
        <v>0</v>
      </c>
      <c r="G167" s="2"/>
      <c r="H167" s="2">
        <f>1009.21204</f>
        <v>1009.21204</v>
      </c>
      <c r="I167" s="2"/>
      <c r="J167" s="2">
        <f t="shared" ref="J167:J174" si="24">0</f>
        <v>0</v>
      </c>
      <c r="K167" s="2"/>
      <c r="L167" s="2">
        <f>20.842472</f>
        <v>20.842472000000001</v>
      </c>
      <c r="M167" s="2"/>
      <c r="N167" s="2">
        <f>72.3</f>
        <v>72.3</v>
      </c>
      <c r="O167" s="2"/>
      <c r="P167" s="2">
        <f t="shared" si="23"/>
        <v>0</v>
      </c>
      <c r="Q167" s="2"/>
      <c r="R167" s="2">
        <f>1.2112931</f>
        <v>1.2112931</v>
      </c>
    </row>
    <row r="168" spans="1:18" ht="17">
      <c r="A168" s="1" t="str">
        <f t="shared" si="22"/>
        <v>2020/05/11</v>
      </c>
      <c r="B168" s="1" t="str">
        <f>"23:00"</f>
        <v>23:00</v>
      </c>
      <c r="C168" s="2"/>
      <c r="D168" s="2">
        <f>282</f>
        <v>282</v>
      </c>
      <c r="E168" s="2"/>
      <c r="F168" s="2">
        <f t="shared" si="17"/>
        <v>0</v>
      </c>
      <c r="G168" s="2"/>
      <c r="H168" s="2">
        <f>1009.69385</f>
        <v>1009.69385</v>
      </c>
      <c r="I168" s="2"/>
      <c r="J168" s="2">
        <f t="shared" si="24"/>
        <v>0</v>
      </c>
      <c r="K168" s="2"/>
      <c r="L168" s="2">
        <f>20.777489</f>
        <v>20.777488999999999</v>
      </c>
      <c r="M168" s="2"/>
      <c r="N168" s="2">
        <f>61.581665</f>
        <v>61.581665000000001</v>
      </c>
      <c r="O168" s="2"/>
      <c r="P168" s="2">
        <f t="shared" si="23"/>
        <v>0</v>
      </c>
      <c r="Q168" s="2"/>
      <c r="R168" s="2">
        <f>2.1937501</f>
        <v>2.1937500999999999</v>
      </c>
    </row>
    <row r="169" spans="1:18" ht="17">
      <c r="A169" s="1" t="str">
        <f t="shared" si="22"/>
        <v>2020/05/11</v>
      </c>
      <c r="B169" s="1" t="str">
        <f>"24:00"</f>
        <v>24:00</v>
      </c>
      <c r="C169" s="2"/>
      <c r="D169" s="2">
        <f>298</f>
        <v>298</v>
      </c>
      <c r="E169" s="2"/>
      <c r="F169" s="2">
        <f t="shared" si="17"/>
        <v>0</v>
      </c>
      <c r="G169" s="2"/>
      <c r="H169" s="2">
        <f>1009.8525</f>
        <v>1009.8525</v>
      </c>
      <c r="I169" s="2"/>
      <c r="J169" s="2">
        <f t="shared" si="24"/>
        <v>0</v>
      </c>
      <c r="K169" s="2"/>
      <c r="L169" s="2">
        <f>20.049097</f>
        <v>20.049097</v>
      </c>
      <c r="M169" s="2"/>
      <c r="N169" s="2">
        <f>59.2975</f>
        <v>59.297499999999999</v>
      </c>
      <c r="O169" s="2"/>
      <c r="P169" s="2">
        <f t="shared" si="23"/>
        <v>0</v>
      </c>
      <c r="Q169" s="2"/>
      <c r="R169" s="2">
        <f>2.3332524</f>
        <v>2.3332524000000001</v>
      </c>
    </row>
    <row r="170" spans="1:18" ht="17">
      <c r="A170" s="1" t="str">
        <f t="shared" ref="A170:A193" si="25">"2020/05/12"</f>
        <v>2020/05/12</v>
      </c>
      <c r="B170" s="1" t="str">
        <f>"01:00"</f>
        <v>01:00</v>
      </c>
      <c r="C170" s="2">
        <f>288.13043</f>
        <v>288.13042999999999</v>
      </c>
      <c r="D170" s="2">
        <f>345</f>
        <v>345</v>
      </c>
      <c r="E170" s="2">
        <f>0</f>
        <v>0</v>
      </c>
      <c r="F170" s="2">
        <f t="shared" si="17"/>
        <v>0</v>
      </c>
      <c r="G170" s="2">
        <f>1013.18787</f>
        <v>1013.18787</v>
      </c>
      <c r="H170" s="2">
        <f>1009.987</f>
        <v>1009.987</v>
      </c>
      <c r="I170" s="2">
        <f>245.3959</f>
        <v>245.39590000000001</v>
      </c>
      <c r="J170" s="2">
        <f t="shared" si="24"/>
        <v>0</v>
      </c>
      <c r="K170" s="2">
        <f>21.59103</f>
        <v>21.59103</v>
      </c>
      <c r="L170" s="2">
        <f>20.007084</f>
        <v>20.007083999999999</v>
      </c>
      <c r="M170" s="2">
        <f>56.840603</f>
        <v>56.840603000000002</v>
      </c>
      <c r="N170" s="2">
        <f>58.27</f>
        <v>58.27</v>
      </c>
      <c r="O170" s="2">
        <f>1.4567975</f>
        <v>1.4567975</v>
      </c>
      <c r="P170" s="2">
        <f t="shared" si="23"/>
        <v>0</v>
      </c>
      <c r="Q170" s="2">
        <f>2.8497245</f>
        <v>2.8497245000000002</v>
      </c>
      <c r="R170" s="2">
        <f>3.695986</f>
        <v>3.695986</v>
      </c>
    </row>
    <row r="171" spans="1:18" ht="17">
      <c r="A171" s="1" t="str">
        <f t="shared" si="25"/>
        <v>2020/05/12</v>
      </c>
      <c r="B171" s="1" t="str">
        <f>"02:00"</f>
        <v>02:00</v>
      </c>
      <c r="C171" s="2"/>
      <c r="D171" s="2">
        <f>344</f>
        <v>344</v>
      </c>
      <c r="E171" s="2"/>
      <c r="F171" s="2">
        <f t="shared" si="17"/>
        <v>0</v>
      </c>
      <c r="G171" s="2"/>
      <c r="H171" s="2">
        <f>1010.08185</f>
        <v>1010.08185</v>
      </c>
      <c r="I171" s="2"/>
      <c r="J171" s="2">
        <f t="shared" si="24"/>
        <v>0</v>
      </c>
      <c r="K171" s="2"/>
      <c r="L171" s="2">
        <f>19.625381</f>
        <v>19.625381000000001</v>
      </c>
      <c r="M171" s="2"/>
      <c r="N171" s="2">
        <f>59.837776</f>
        <v>59.837775999999998</v>
      </c>
      <c r="O171" s="2"/>
      <c r="P171" s="2">
        <f t="shared" si="23"/>
        <v>0</v>
      </c>
      <c r="Q171" s="2"/>
      <c r="R171" s="2">
        <f>2.759736</f>
        <v>2.7597360000000002</v>
      </c>
    </row>
    <row r="172" spans="1:18" ht="17">
      <c r="A172" s="1" t="str">
        <f t="shared" si="25"/>
        <v>2020/05/12</v>
      </c>
      <c r="B172" s="1" t="str">
        <f>"03:00"</f>
        <v>03:00</v>
      </c>
      <c r="C172" s="2"/>
      <c r="D172" s="2">
        <f>343</f>
        <v>343</v>
      </c>
      <c r="E172" s="2"/>
      <c r="F172" s="2">
        <f t="shared" si="17"/>
        <v>0</v>
      </c>
      <c r="G172" s="2"/>
      <c r="H172" s="2">
        <f>1010.66846</f>
        <v>1010.66846</v>
      </c>
      <c r="I172" s="2"/>
      <c r="J172" s="2">
        <f t="shared" si="24"/>
        <v>0</v>
      </c>
      <c r="K172" s="2"/>
      <c r="L172" s="2">
        <f>18.386457</f>
        <v>18.386457</v>
      </c>
      <c r="M172" s="2"/>
      <c r="N172" s="2">
        <f>64.44222</f>
        <v>64.442220000000006</v>
      </c>
      <c r="O172" s="2"/>
      <c r="P172" s="2">
        <f t="shared" si="23"/>
        <v>0</v>
      </c>
      <c r="Q172" s="2"/>
      <c r="R172" s="2">
        <f>2.3654962</f>
        <v>2.3654961999999999</v>
      </c>
    </row>
    <row r="173" spans="1:18" ht="17">
      <c r="A173" s="1" t="str">
        <f t="shared" si="25"/>
        <v>2020/05/12</v>
      </c>
      <c r="B173" s="1" t="str">
        <f>"04:00"</f>
        <v>04:00</v>
      </c>
      <c r="C173" s="2"/>
      <c r="D173" s="2">
        <f>347</f>
        <v>347</v>
      </c>
      <c r="E173" s="2"/>
      <c r="F173" s="2">
        <f t="shared" si="17"/>
        <v>0</v>
      </c>
      <c r="G173" s="2"/>
      <c r="H173" s="2">
        <f>1011.0711</f>
        <v>1011.0711</v>
      </c>
      <c r="I173" s="2"/>
      <c r="J173" s="2">
        <f t="shared" si="24"/>
        <v>0</v>
      </c>
      <c r="K173" s="2"/>
      <c r="L173" s="2">
        <f>17.761507</f>
        <v>17.761507000000002</v>
      </c>
      <c r="M173" s="2"/>
      <c r="N173" s="2">
        <f>65.77389</f>
        <v>65.773889999999994</v>
      </c>
      <c r="O173" s="2"/>
      <c r="P173" s="2">
        <f t="shared" si="23"/>
        <v>0</v>
      </c>
      <c r="Q173" s="2"/>
      <c r="R173" s="2">
        <f>1.6947308</f>
        <v>1.6947308000000001</v>
      </c>
    </row>
    <row r="174" spans="1:18" ht="17">
      <c r="A174" s="1" t="str">
        <f t="shared" si="25"/>
        <v>2020/05/12</v>
      </c>
      <c r="B174" s="1" t="str">
        <f>"05:00"</f>
        <v>05:00</v>
      </c>
      <c r="C174" s="2"/>
      <c r="D174" s="2">
        <f>350</f>
        <v>350</v>
      </c>
      <c r="E174" s="2"/>
      <c r="F174" s="2">
        <f t="shared" si="17"/>
        <v>0</v>
      </c>
      <c r="G174" s="2"/>
      <c r="H174" s="2">
        <f>1011.6038</f>
        <v>1011.6038</v>
      </c>
      <c r="I174" s="2"/>
      <c r="J174" s="2">
        <f t="shared" si="24"/>
        <v>0</v>
      </c>
      <c r="K174" s="2"/>
      <c r="L174" s="2">
        <f>17.007622</f>
        <v>17.007622000000001</v>
      </c>
      <c r="M174" s="2"/>
      <c r="N174" s="2">
        <f>68.33889</f>
        <v>68.338890000000006</v>
      </c>
      <c r="O174" s="2"/>
      <c r="P174" s="2">
        <f t="shared" si="23"/>
        <v>0</v>
      </c>
      <c r="Q174" s="2"/>
      <c r="R174" s="2">
        <f>1.3070616</f>
        <v>1.3070615999999999</v>
      </c>
    </row>
    <row r="175" spans="1:18" ht="17">
      <c r="A175" s="1" t="str">
        <f t="shared" si="25"/>
        <v>2020/05/12</v>
      </c>
      <c r="B175" s="1" t="str">
        <f>"06:00"</f>
        <v>06:00</v>
      </c>
      <c r="C175" s="2"/>
      <c r="D175" s="2">
        <f>289</f>
        <v>289</v>
      </c>
      <c r="E175" s="2"/>
      <c r="F175" s="2">
        <f t="shared" si="17"/>
        <v>0</v>
      </c>
      <c r="G175" s="2"/>
      <c r="H175" s="2">
        <f>1011.6154</f>
        <v>1011.6154</v>
      </c>
      <c r="I175" s="2"/>
      <c r="J175" s="2">
        <f>2.5583334</f>
        <v>2.5583334</v>
      </c>
      <c r="K175" s="2"/>
      <c r="L175" s="2">
        <f>17.279081</f>
        <v>17.279081000000001</v>
      </c>
      <c r="M175" s="2"/>
      <c r="N175" s="2">
        <f>66.924446</f>
        <v>66.924446000000003</v>
      </c>
      <c r="O175" s="2"/>
      <c r="P175" s="2">
        <f t="shared" si="23"/>
        <v>0</v>
      </c>
      <c r="Q175" s="2"/>
      <c r="R175" s="2">
        <f>1.9910712</f>
        <v>1.9910711999999999</v>
      </c>
    </row>
    <row r="176" spans="1:18" ht="17">
      <c r="A176" s="1" t="str">
        <f t="shared" si="25"/>
        <v>2020/05/12</v>
      </c>
      <c r="B176" s="1" t="str">
        <f>"07:00"</f>
        <v>07:00</v>
      </c>
      <c r="C176" s="2"/>
      <c r="D176" s="2">
        <f>284</f>
        <v>284</v>
      </c>
      <c r="E176" s="2"/>
      <c r="F176" s="2">
        <f t="shared" si="17"/>
        <v>0</v>
      </c>
      <c r="G176" s="2"/>
      <c r="H176" s="2">
        <f>1012.1157</f>
        <v>1012.1156999999999</v>
      </c>
      <c r="I176" s="2"/>
      <c r="J176" s="2">
        <f>25.069166</f>
        <v>25.069165999999999</v>
      </c>
      <c r="K176" s="2"/>
      <c r="L176" s="2">
        <f>17.445177</f>
        <v>17.445177000000001</v>
      </c>
      <c r="M176" s="2"/>
      <c r="N176" s="2">
        <f>65.69778</f>
        <v>65.697779999999995</v>
      </c>
      <c r="O176" s="2"/>
      <c r="P176" s="2">
        <f t="shared" si="23"/>
        <v>0</v>
      </c>
      <c r="Q176" s="2"/>
      <c r="R176" s="2">
        <f>2.2300615</f>
        <v>2.2300615000000001</v>
      </c>
    </row>
    <row r="177" spans="1:18" ht="17">
      <c r="A177" s="1" t="str">
        <f t="shared" si="25"/>
        <v>2020/05/12</v>
      </c>
      <c r="B177" s="1" t="str">
        <f>"08:00"</f>
        <v>08:00</v>
      </c>
      <c r="C177" s="2"/>
      <c r="D177" s="2">
        <f>288</f>
        <v>288</v>
      </c>
      <c r="E177" s="2"/>
      <c r="F177" s="2">
        <f t="shared" si="17"/>
        <v>0</v>
      </c>
      <c r="G177" s="2"/>
      <c r="H177" s="2">
        <f>1012.2687</f>
        <v>1012.2687</v>
      </c>
      <c r="I177" s="2"/>
      <c r="J177" s="2">
        <f>200.81972</f>
        <v>200.81971999999999</v>
      </c>
      <c r="K177" s="2"/>
      <c r="L177" s="2">
        <f>19.116167</f>
        <v>19.116167000000001</v>
      </c>
      <c r="M177" s="2"/>
      <c r="N177" s="2">
        <f>61.281944</f>
        <v>61.281944000000003</v>
      </c>
      <c r="O177" s="2"/>
      <c r="P177" s="2">
        <f>0.5994956</f>
        <v>0.59949560000000002</v>
      </c>
      <c r="Q177" s="2"/>
      <c r="R177" s="2">
        <f>2.3152926</f>
        <v>2.3152925999999998</v>
      </c>
    </row>
    <row r="178" spans="1:18" ht="17">
      <c r="A178" s="1" t="str">
        <f t="shared" si="25"/>
        <v>2020/05/12</v>
      </c>
      <c r="B178" s="1" t="str">
        <f>"09:00"</f>
        <v>09:00</v>
      </c>
      <c r="C178" s="2"/>
      <c r="D178" s="2">
        <f>322</f>
        <v>322</v>
      </c>
      <c r="E178" s="2"/>
      <c r="F178" s="2">
        <f t="shared" si="17"/>
        <v>0</v>
      </c>
      <c r="G178" s="2"/>
      <c r="H178" s="2">
        <f>1012.64716</f>
        <v>1012.64716</v>
      </c>
      <c r="I178" s="2"/>
      <c r="J178" s="2">
        <f>128.67917</f>
        <v>128.67917</v>
      </c>
      <c r="K178" s="2"/>
      <c r="L178" s="2">
        <f>21.371473</f>
        <v>21.371473000000002</v>
      </c>
      <c r="M178" s="2"/>
      <c r="N178" s="2">
        <f>55.566387</f>
        <v>55.566386999999999</v>
      </c>
      <c r="O178" s="2"/>
      <c r="P178" s="2">
        <f>0.4681691</f>
        <v>0.4681691</v>
      </c>
      <c r="Q178" s="2"/>
      <c r="R178" s="2">
        <f>1.7451221</f>
        <v>1.7451220999999999</v>
      </c>
    </row>
    <row r="179" spans="1:18" ht="17">
      <c r="A179" s="1" t="str">
        <f t="shared" si="25"/>
        <v>2020/05/12</v>
      </c>
      <c r="B179" s="1" t="str">
        <f>"10:00"</f>
        <v>10:00</v>
      </c>
      <c r="C179" s="2"/>
      <c r="D179" s="2">
        <f>345</f>
        <v>345</v>
      </c>
      <c r="E179" s="2"/>
      <c r="F179" s="2">
        <f t="shared" si="17"/>
        <v>0</v>
      </c>
      <c r="G179" s="2"/>
      <c r="H179" s="2">
        <f>1012.88556</f>
        <v>1012.8855600000001</v>
      </c>
      <c r="I179" s="2"/>
      <c r="J179" s="2">
        <f>208.77583</f>
        <v>208.77583000000001</v>
      </c>
      <c r="K179" s="2"/>
      <c r="L179" s="2">
        <f>23.012081</f>
        <v>23.012080999999998</v>
      </c>
      <c r="M179" s="2"/>
      <c r="N179" s="2">
        <f>50.783054</f>
        <v>50.783054</v>
      </c>
      <c r="O179" s="2"/>
      <c r="P179" s="2">
        <f>0.89654946</f>
        <v>0.89654946000000002</v>
      </c>
      <c r="Q179" s="2"/>
      <c r="R179" s="2">
        <f>2.6937292</f>
        <v>2.6937291999999999</v>
      </c>
    </row>
    <row r="180" spans="1:18" ht="17">
      <c r="A180" s="1" t="str">
        <f t="shared" si="25"/>
        <v>2020/05/12</v>
      </c>
      <c r="B180" s="1" t="str">
        <f>"11:00"</f>
        <v>11:00</v>
      </c>
      <c r="C180" s="2"/>
      <c r="D180" s="2">
        <f>346</f>
        <v>346</v>
      </c>
      <c r="E180" s="2"/>
      <c r="F180" s="2">
        <f t="shared" si="17"/>
        <v>0</v>
      </c>
      <c r="G180" s="2"/>
      <c r="H180" s="2">
        <f>1013.1787</f>
        <v>1013.1787</v>
      </c>
      <c r="I180" s="2"/>
      <c r="J180" s="2">
        <f>733.5356</f>
        <v>733.53560000000004</v>
      </c>
      <c r="K180" s="2"/>
      <c r="L180" s="2">
        <f>24.18736</f>
        <v>24.187360000000002</v>
      </c>
      <c r="M180" s="2"/>
      <c r="N180" s="2">
        <f>44.67472</f>
        <v>44.674720000000001</v>
      </c>
      <c r="O180" s="2"/>
      <c r="P180" s="2">
        <f>3.7752528</f>
        <v>3.7752528000000001</v>
      </c>
      <c r="Q180" s="2"/>
      <c r="R180" s="2">
        <f>5.2641473</f>
        <v>5.2641473000000003</v>
      </c>
    </row>
    <row r="181" spans="1:18" ht="17">
      <c r="A181" s="1" t="str">
        <f t="shared" si="25"/>
        <v>2020/05/12</v>
      </c>
      <c r="B181" s="1" t="str">
        <f>"12:00"</f>
        <v>12:00</v>
      </c>
      <c r="C181" s="2"/>
      <c r="D181" s="2">
        <f>346</f>
        <v>346</v>
      </c>
      <c r="E181" s="2"/>
      <c r="F181" s="2">
        <f t="shared" si="17"/>
        <v>0</v>
      </c>
      <c r="G181" s="2"/>
      <c r="H181" s="2">
        <f>1013.4204</f>
        <v>1013.4204</v>
      </c>
      <c r="I181" s="2"/>
      <c r="J181" s="2">
        <f>803.29834</f>
        <v>803.29834000000005</v>
      </c>
      <c r="K181" s="2"/>
      <c r="L181" s="2">
        <f>25.437286</f>
        <v>25.437286</v>
      </c>
      <c r="M181" s="2"/>
      <c r="N181" s="2">
        <f>37.8725</f>
        <v>37.872500000000002</v>
      </c>
      <c r="O181" s="2"/>
      <c r="P181" s="2">
        <f>5.500304</f>
        <v>5.5003039999999999</v>
      </c>
      <c r="Q181" s="2"/>
      <c r="R181" s="2">
        <f>6.225172</f>
        <v>6.2251719999999997</v>
      </c>
    </row>
    <row r="182" spans="1:18" ht="17">
      <c r="A182" s="1" t="str">
        <f t="shared" si="25"/>
        <v>2020/05/12</v>
      </c>
      <c r="B182" s="1" t="str">
        <f>"13:00"</f>
        <v>13:00</v>
      </c>
      <c r="C182" s="2"/>
      <c r="D182" s="2">
        <f>349</f>
        <v>349</v>
      </c>
      <c r="E182" s="2"/>
      <c r="F182" s="2">
        <f t="shared" ref="F182:F245" si="26">0</f>
        <v>0</v>
      </c>
      <c r="G182" s="2"/>
      <c r="H182" s="2">
        <f>1013.4895</f>
        <v>1013.4895</v>
      </c>
      <c r="I182" s="2"/>
      <c r="J182" s="2">
        <f>871.15</f>
        <v>871.15</v>
      </c>
      <c r="K182" s="2"/>
      <c r="L182" s="2">
        <f>25.972912</f>
        <v>25.972912000000001</v>
      </c>
      <c r="M182" s="2"/>
      <c r="N182" s="2">
        <f>38.16</f>
        <v>38.159999999999997</v>
      </c>
      <c r="O182" s="2"/>
      <c r="P182" s="2">
        <f>6.247089</f>
        <v>6.2470889999999999</v>
      </c>
      <c r="Q182" s="2"/>
      <c r="R182" s="2">
        <f>5.8275924</f>
        <v>5.8275924000000003</v>
      </c>
    </row>
    <row r="183" spans="1:18" ht="17">
      <c r="A183" s="1" t="str">
        <f t="shared" si="25"/>
        <v>2020/05/12</v>
      </c>
      <c r="B183" s="1" t="str">
        <f>"14:00"</f>
        <v>14:00</v>
      </c>
      <c r="C183" s="2"/>
      <c r="D183" s="2">
        <f>350</f>
        <v>350</v>
      </c>
      <c r="E183" s="2"/>
      <c r="F183" s="2">
        <f t="shared" si="26"/>
        <v>0</v>
      </c>
      <c r="G183" s="2"/>
      <c r="H183" s="2">
        <f>1013.56866</f>
        <v>1013.56866</v>
      </c>
      <c r="I183" s="2"/>
      <c r="J183" s="2">
        <f>674.6586</f>
        <v>674.65859999999998</v>
      </c>
      <c r="K183" s="2"/>
      <c r="L183" s="2">
        <f>26.746656</f>
        <v>26.746656000000002</v>
      </c>
      <c r="M183" s="2"/>
      <c r="N183" s="2">
        <f>36.25889</f>
        <v>36.258890000000001</v>
      </c>
      <c r="O183" s="2"/>
      <c r="P183" s="2">
        <f>5.126619</f>
        <v>5.1266189999999998</v>
      </c>
      <c r="Q183" s="2"/>
      <c r="R183" s="2">
        <f>5.0723376</f>
        <v>5.0723376</v>
      </c>
    </row>
    <row r="184" spans="1:18" ht="17">
      <c r="A184" s="1" t="str">
        <f t="shared" si="25"/>
        <v>2020/05/12</v>
      </c>
      <c r="B184" s="1" t="str">
        <f>"15:00"</f>
        <v>15:00</v>
      </c>
      <c r="C184" s="2"/>
      <c r="D184" s="2">
        <f>349</f>
        <v>349</v>
      </c>
      <c r="E184" s="2"/>
      <c r="F184" s="2">
        <f t="shared" si="26"/>
        <v>0</v>
      </c>
      <c r="G184" s="2"/>
      <c r="H184" s="2">
        <f>1013.49133</f>
        <v>1013.4913299999999</v>
      </c>
      <c r="I184" s="2"/>
      <c r="J184" s="2">
        <f>725.17834</f>
        <v>725.17834000000005</v>
      </c>
      <c r="K184" s="2"/>
      <c r="L184" s="2">
        <f>27.16398</f>
        <v>27.163979999999999</v>
      </c>
      <c r="M184" s="2"/>
      <c r="N184" s="2">
        <f>35.586666</f>
        <v>35.586666000000001</v>
      </c>
      <c r="O184" s="2"/>
      <c r="P184" s="2">
        <f>4.9923973</f>
        <v>4.9923973000000004</v>
      </c>
      <c r="Q184" s="2"/>
      <c r="R184" s="2">
        <f>4.456218</f>
        <v>4.4562179999999998</v>
      </c>
    </row>
    <row r="185" spans="1:18" ht="17">
      <c r="A185" s="1" t="str">
        <f t="shared" si="25"/>
        <v>2020/05/12</v>
      </c>
      <c r="B185" s="1" t="str">
        <f>"16:00"</f>
        <v>16:00</v>
      </c>
      <c r="C185" s="2"/>
      <c r="D185" s="2">
        <f>159</f>
        <v>159</v>
      </c>
      <c r="E185" s="2"/>
      <c r="F185" s="2">
        <f t="shared" si="26"/>
        <v>0</v>
      </c>
      <c r="G185" s="2"/>
      <c r="H185" s="2">
        <f>1013.65314</f>
        <v>1013.65314</v>
      </c>
      <c r="I185" s="2"/>
      <c r="J185" s="2">
        <f>602.76416</f>
        <v>602.76415999999995</v>
      </c>
      <c r="K185" s="2"/>
      <c r="L185" s="2">
        <f>26.213455</f>
        <v>26.213455</v>
      </c>
      <c r="M185" s="2"/>
      <c r="N185" s="2">
        <f>44.077778</f>
        <v>44.077778000000002</v>
      </c>
      <c r="O185" s="2"/>
      <c r="P185" s="2">
        <f>3.594296</f>
        <v>3.5942959999999999</v>
      </c>
      <c r="Q185" s="2"/>
      <c r="R185" s="2">
        <f>2.7544103</f>
        <v>2.7544103</v>
      </c>
    </row>
    <row r="186" spans="1:18" ht="17">
      <c r="A186" s="1" t="str">
        <f t="shared" si="25"/>
        <v>2020/05/12</v>
      </c>
      <c r="B186" s="1" t="str">
        <f>"17:00"</f>
        <v>17:00</v>
      </c>
      <c r="C186" s="2"/>
      <c r="D186" s="2">
        <f>162</f>
        <v>162</v>
      </c>
      <c r="E186" s="2"/>
      <c r="F186" s="2">
        <f t="shared" si="26"/>
        <v>0</v>
      </c>
      <c r="G186" s="2"/>
      <c r="H186" s="2">
        <f>1013.7876</f>
        <v>1013.7876</v>
      </c>
      <c r="I186" s="2"/>
      <c r="J186" s="2">
        <f>372.16388</f>
        <v>372.16388000000001</v>
      </c>
      <c r="K186" s="2"/>
      <c r="L186" s="2">
        <f>22.81263</f>
        <v>22.812629999999999</v>
      </c>
      <c r="M186" s="2"/>
      <c r="N186" s="2">
        <f>58.915554</f>
        <v>58.915554</v>
      </c>
      <c r="O186" s="2"/>
      <c r="P186" s="2">
        <f>1.9968865</f>
        <v>1.9968865</v>
      </c>
      <c r="Q186" s="2"/>
      <c r="R186" s="2">
        <f>3.3510563</f>
        <v>3.3510563000000002</v>
      </c>
    </row>
    <row r="187" spans="1:18" ht="17">
      <c r="A187" s="1" t="str">
        <f t="shared" si="25"/>
        <v>2020/05/12</v>
      </c>
      <c r="B187" s="1" t="str">
        <f>"18:00"</f>
        <v>18:00</v>
      </c>
      <c r="C187" s="2"/>
      <c r="D187" s="2">
        <f>162</f>
        <v>162</v>
      </c>
      <c r="E187" s="2"/>
      <c r="F187" s="2">
        <f t="shared" si="26"/>
        <v>0</v>
      </c>
      <c r="G187" s="2"/>
      <c r="H187" s="2">
        <f>1013.9736</f>
        <v>1013.9736</v>
      </c>
      <c r="I187" s="2"/>
      <c r="J187" s="2">
        <f>315.83722</f>
        <v>315.83722</v>
      </c>
      <c r="K187" s="2"/>
      <c r="L187" s="2">
        <f>21.982065</f>
        <v>21.982064999999999</v>
      </c>
      <c r="M187" s="2"/>
      <c r="N187" s="2">
        <f>65.15111</f>
        <v>65.151110000000003</v>
      </c>
      <c r="O187" s="2"/>
      <c r="P187" s="2">
        <f>1.3483316</f>
        <v>1.3483316000000001</v>
      </c>
      <c r="Q187" s="2"/>
      <c r="R187" s="2">
        <f>2.7634165</f>
        <v>2.7634164999999999</v>
      </c>
    </row>
    <row r="188" spans="1:18" ht="17">
      <c r="A188" s="1" t="str">
        <f t="shared" si="25"/>
        <v>2020/05/12</v>
      </c>
      <c r="B188" s="1" t="str">
        <f>"19:00"</f>
        <v>19:00</v>
      </c>
      <c r="C188" s="2"/>
      <c r="D188" s="2">
        <f>160</f>
        <v>160</v>
      </c>
      <c r="E188" s="2"/>
      <c r="F188" s="2">
        <f t="shared" si="26"/>
        <v>0</v>
      </c>
      <c r="G188" s="2"/>
      <c r="H188" s="2">
        <f>1014.19293</f>
        <v>1014.19293</v>
      </c>
      <c r="I188" s="2"/>
      <c r="J188" s="2">
        <f>186.34778</f>
        <v>186.34778</v>
      </c>
      <c r="K188" s="2"/>
      <c r="L188" s="2">
        <f>22.13854</f>
        <v>22.138539999999999</v>
      </c>
      <c r="M188" s="2"/>
      <c r="N188" s="2">
        <f>63.60278</f>
        <v>63.602780000000003</v>
      </c>
      <c r="O188" s="2"/>
      <c r="P188" s="2">
        <f>0.4177484</f>
        <v>0.41774840000000002</v>
      </c>
      <c r="Q188" s="2"/>
      <c r="R188" s="2">
        <f>2.6263824</f>
        <v>2.6263823999999998</v>
      </c>
    </row>
    <row r="189" spans="1:18" ht="17">
      <c r="A189" s="1" t="str">
        <f t="shared" si="25"/>
        <v>2020/05/12</v>
      </c>
      <c r="B189" s="1" t="str">
        <f>"20:00"</f>
        <v>20:00</v>
      </c>
      <c r="C189" s="2"/>
      <c r="D189" s="2">
        <f>155</f>
        <v>155</v>
      </c>
      <c r="E189" s="2"/>
      <c r="F189" s="2">
        <f t="shared" si="26"/>
        <v>0</v>
      </c>
      <c r="G189" s="2"/>
      <c r="H189" s="2">
        <f>1014.5455</f>
        <v>1014.5454999999999</v>
      </c>
      <c r="I189" s="2"/>
      <c r="J189" s="2">
        <f>38.616943</f>
        <v>38.616942999999999</v>
      </c>
      <c r="K189" s="2"/>
      <c r="L189" s="2">
        <f>21.998798</f>
        <v>21.998798000000001</v>
      </c>
      <c r="M189" s="2"/>
      <c r="N189" s="2">
        <f>64.291115</f>
        <v>64.291115000000005</v>
      </c>
      <c r="O189" s="2"/>
      <c r="P189" s="2">
        <f t="shared" ref="P189:P200" si="27">0</f>
        <v>0</v>
      </c>
      <c r="Q189" s="2"/>
      <c r="R189" s="2">
        <f>1.9377375</f>
        <v>1.9377374999999999</v>
      </c>
    </row>
    <row r="190" spans="1:18" ht="17">
      <c r="A190" s="1" t="str">
        <f t="shared" si="25"/>
        <v>2020/05/12</v>
      </c>
      <c r="B190" s="1" t="str">
        <f>"21:00"</f>
        <v>21:00</v>
      </c>
      <c r="C190" s="2"/>
      <c r="D190" s="2">
        <f>158</f>
        <v>158</v>
      </c>
      <c r="E190" s="2"/>
      <c r="F190" s="2">
        <f t="shared" si="26"/>
        <v>0</v>
      </c>
      <c r="G190" s="2"/>
      <c r="H190" s="2">
        <f>1015.07574</f>
        <v>1015.07574</v>
      </c>
      <c r="I190" s="2"/>
      <c r="J190" s="2">
        <f>0.048611112</f>
        <v>4.8611111999999998E-2</v>
      </c>
      <c r="K190" s="2"/>
      <c r="L190" s="2">
        <f>21.158138</f>
        <v>21.158138000000001</v>
      </c>
      <c r="M190" s="2"/>
      <c r="N190" s="2">
        <f>69.03555</f>
        <v>69.035550000000001</v>
      </c>
      <c r="O190" s="2"/>
      <c r="P190" s="2">
        <f t="shared" si="27"/>
        <v>0</v>
      </c>
      <c r="Q190" s="2"/>
      <c r="R190" s="2">
        <f>0.88542473</f>
        <v>0.88542472999999999</v>
      </c>
    </row>
    <row r="191" spans="1:18" ht="17">
      <c r="A191" s="1" t="str">
        <f t="shared" si="25"/>
        <v>2020/05/12</v>
      </c>
      <c r="B191" s="1" t="str">
        <f>"22:00"</f>
        <v>22:00</v>
      </c>
      <c r="C191" s="2"/>
      <c r="D191" s="7" t="s">
        <v>22</v>
      </c>
      <c r="E191" s="2"/>
      <c r="F191" s="2">
        <f t="shared" si="26"/>
        <v>0</v>
      </c>
      <c r="G191" s="2"/>
      <c r="H191" s="2">
        <f>1015.87494</f>
        <v>1015.87494</v>
      </c>
      <c r="I191" s="2"/>
      <c r="J191" s="2">
        <f t="shared" ref="J191:J198" si="28">0</f>
        <v>0</v>
      </c>
      <c r="K191" s="2"/>
      <c r="L191" s="2">
        <f>20.709044</f>
        <v>20.709043999999999</v>
      </c>
      <c r="M191" s="2"/>
      <c r="N191" s="2">
        <f>67.89611</f>
        <v>67.896109999999993</v>
      </c>
      <c r="O191" s="2"/>
      <c r="P191" s="2">
        <f t="shared" si="27"/>
        <v>0</v>
      </c>
      <c r="Q191" s="2"/>
      <c r="R191" s="7" t="s">
        <v>22</v>
      </c>
    </row>
    <row r="192" spans="1:18" ht="17">
      <c r="A192" s="1" t="str">
        <f t="shared" si="25"/>
        <v>2020/05/12</v>
      </c>
      <c r="B192" s="1" t="str">
        <f>"23:00"</f>
        <v>23:00</v>
      </c>
      <c r="C192" s="2"/>
      <c r="D192" s="2">
        <f>353</f>
        <v>353</v>
      </c>
      <c r="E192" s="2"/>
      <c r="F192" s="2">
        <f t="shared" si="26"/>
        <v>0</v>
      </c>
      <c r="G192" s="2"/>
      <c r="H192" s="2">
        <f>1016.52606</f>
        <v>1016.52606</v>
      </c>
      <c r="I192" s="2"/>
      <c r="J192" s="2">
        <f t="shared" si="28"/>
        <v>0</v>
      </c>
      <c r="K192" s="2"/>
      <c r="L192" s="2">
        <f>19.829536</f>
        <v>19.829536000000001</v>
      </c>
      <c r="M192" s="2"/>
      <c r="N192" s="2">
        <f>65.19028</f>
        <v>65.190280000000001</v>
      </c>
      <c r="O192" s="2"/>
      <c r="P192" s="2">
        <f t="shared" si="27"/>
        <v>0</v>
      </c>
      <c r="Q192" s="2"/>
      <c r="R192" s="2">
        <f>0.54041046</f>
        <v>0.54041046000000004</v>
      </c>
    </row>
    <row r="193" spans="1:18" ht="17">
      <c r="A193" s="1" t="str">
        <f t="shared" si="25"/>
        <v>2020/05/12</v>
      </c>
      <c r="B193" s="1" t="str">
        <f>"24:00"</f>
        <v>24:00</v>
      </c>
      <c r="C193" s="2"/>
      <c r="D193" s="2">
        <f>321</f>
        <v>321</v>
      </c>
      <c r="E193" s="2"/>
      <c r="F193" s="2">
        <f t="shared" si="26"/>
        <v>0</v>
      </c>
      <c r="G193" s="2"/>
      <c r="H193" s="2">
        <f>1016.78625</f>
        <v>1016.78625</v>
      </c>
      <c r="I193" s="2"/>
      <c r="J193" s="2">
        <f t="shared" si="28"/>
        <v>0</v>
      </c>
      <c r="K193" s="2"/>
      <c r="L193" s="2">
        <f>20.822275</f>
        <v>20.822275000000001</v>
      </c>
      <c r="M193" s="2"/>
      <c r="N193" s="2">
        <f>56.545</f>
        <v>56.545000000000002</v>
      </c>
      <c r="O193" s="2"/>
      <c r="P193" s="2">
        <f t="shared" si="27"/>
        <v>0</v>
      </c>
      <c r="Q193" s="2"/>
      <c r="R193" s="2">
        <f>1.0410714</f>
        <v>1.0410714000000001</v>
      </c>
    </row>
    <row r="194" spans="1:18" ht="17">
      <c r="A194" s="1" t="str">
        <f t="shared" ref="A194:A217" si="29">"2020/05/13"</f>
        <v>2020/05/13</v>
      </c>
      <c r="B194" s="1" t="str">
        <f>"01:00"</f>
        <v>01:00</v>
      </c>
      <c r="C194" s="2">
        <f>156.72728</f>
        <v>156.72728000000001</v>
      </c>
      <c r="D194" s="2">
        <f>289</f>
        <v>289</v>
      </c>
      <c r="E194" s="2">
        <f>0</f>
        <v>0</v>
      </c>
      <c r="F194" s="2">
        <f t="shared" si="26"/>
        <v>0</v>
      </c>
      <c r="G194" s="2">
        <f>1014.33746</f>
        <v>1014.33746</v>
      </c>
      <c r="H194" s="2">
        <f>1016.6883</f>
        <v>1016.6883</v>
      </c>
      <c r="I194" s="2">
        <f>208.21347</f>
        <v>208.21347</v>
      </c>
      <c r="J194" s="2">
        <f t="shared" si="28"/>
        <v>0</v>
      </c>
      <c r="K194" s="2">
        <f>23.441536</f>
        <v>23.441535999999999</v>
      </c>
      <c r="L194" s="2">
        <f>20.406303</f>
        <v>20.406303000000001</v>
      </c>
      <c r="M194" s="2">
        <f>51.453827</f>
        <v>51.453826999999997</v>
      </c>
      <c r="N194" s="2">
        <f>55.38904</f>
        <v>55.389040000000001</v>
      </c>
      <c r="O194" s="2">
        <f>1.176939</f>
        <v>1.176939</v>
      </c>
      <c r="P194" s="2">
        <f t="shared" si="27"/>
        <v>0</v>
      </c>
      <c r="Q194" s="2">
        <f>2.1984959</f>
        <v>2.1984959000000002</v>
      </c>
      <c r="R194" s="2">
        <f>1.6476451</f>
        <v>1.6476451000000001</v>
      </c>
    </row>
    <row r="195" spans="1:18" ht="17">
      <c r="A195" s="1" t="str">
        <f t="shared" si="29"/>
        <v>2020/05/13</v>
      </c>
      <c r="B195" s="1" t="str">
        <f>"02:00"</f>
        <v>02:00</v>
      </c>
      <c r="C195" s="2"/>
      <c r="D195" s="2">
        <f>8</f>
        <v>8</v>
      </c>
      <c r="E195" s="2"/>
      <c r="F195" s="2">
        <f t="shared" si="26"/>
        <v>0</v>
      </c>
      <c r="G195" s="2"/>
      <c r="H195" s="2">
        <f>1016.4812</f>
        <v>1016.4811999999999</v>
      </c>
      <c r="I195" s="2"/>
      <c r="J195" s="2">
        <f t="shared" si="28"/>
        <v>0</v>
      </c>
      <c r="K195" s="2"/>
      <c r="L195" s="2">
        <f>18.751743</f>
        <v>18.751743000000001</v>
      </c>
      <c r="M195" s="2"/>
      <c r="N195" s="2">
        <f>62.63278</f>
        <v>62.632779999999997</v>
      </c>
      <c r="O195" s="2"/>
      <c r="P195" s="2">
        <f t="shared" si="27"/>
        <v>0</v>
      </c>
      <c r="Q195" s="2"/>
      <c r="R195" s="2">
        <f>0.28433368</f>
        <v>0.28433367999999998</v>
      </c>
    </row>
    <row r="196" spans="1:18" ht="17">
      <c r="A196" s="1" t="str">
        <f t="shared" si="29"/>
        <v>2020/05/13</v>
      </c>
      <c r="B196" s="1" t="str">
        <f>"03:00"</f>
        <v>03:00</v>
      </c>
      <c r="C196" s="2"/>
      <c r="D196" s="7" t="s">
        <v>22</v>
      </c>
      <c r="E196" s="2"/>
      <c r="F196" s="2">
        <f t="shared" si="26"/>
        <v>0</v>
      </c>
      <c r="G196" s="2"/>
      <c r="H196" s="2">
        <f>1016.5377</f>
        <v>1016.5377</v>
      </c>
      <c r="I196" s="2"/>
      <c r="J196" s="2">
        <f t="shared" si="28"/>
        <v>0</v>
      </c>
      <c r="K196" s="2"/>
      <c r="L196" s="2">
        <f>18.132748</f>
        <v>18.132747999999999</v>
      </c>
      <c r="M196" s="2"/>
      <c r="N196" s="2">
        <f>67.21306</f>
        <v>67.213059999999999</v>
      </c>
      <c r="O196" s="2"/>
      <c r="P196" s="2">
        <f t="shared" si="27"/>
        <v>0</v>
      </c>
      <c r="Q196" s="2"/>
      <c r="R196" s="7" t="s">
        <v>22</v>
      </c>
    </row>
    <row r="197" spans="1:18" ht="17">
      <c r="A197" s="1" t="str">
        <f t="shared" si="29"/>
        <v>2020/05/13</v>
      </c>
      <c r="B197" s="1" t="str">
        <f>"04:00"</f>
        <v>04:00</v>
      </c>
      <c r="C197" s="2"/>
      <c r="D197" s="2">
        <f>159</f>
        <v>159</v>
      </c>
      <c r="E197" s="2"/>
      <c r="F197" s="2">
        <f t="shared" si="26"/>
        <v>0</v>
      </c>
      <c r="G197" s="2"/>
      <c r="H197" s="2">
        <f>1016.2536</f>
        <v>1016.2536</v>
      </c>
      <c r="I197" s="2"/>
      <c r="J197" s="2">
        <f t="shared" si="28"/>
        <v>0</v>
      </c>
      <c r="K197" s="2"/>
      <c r="L197" s="2">
        <f>17.999084</f>
        <v>17.999084</v>
      </c>
      <c r="M197" s="2"/>
      <c r="N197" s="2">
        <f>63.656113</f>
        <v>63.656112999999998</v>
      </c>
      <c r="O197" s="2"/>
      <c r="P197" s="2">
        <f t="shared" si="27"/>
        <v>0</v>
      </c>
      <c r="Q197" s="2"/>
      <c r="R197" s="2">
        <f>1.2874941</f>
        <v>1.2874941</v>
      </c>
    </row>
    <row r="198" spans="1:18" ht="17">
      <c r="A198" s="1" t="str">
        <f t="shared" si="29"/>
        <v>2020/05/13</v>
      </c>
      <c r="B198" s="1" t="str">
        <f>"05:00"</f>
        <v>05:00</v>
      </c>
      <c r="C198" s="2"/>
      <c r="D198" s="7" t="s">
        <v>22</v>
      </c>
      <c r="E198" s="2"/>
      <c r="F198" s="2">
        <f t="shared" si="26"/>
        <v>0</v>
      </c>
      <c r="G198" s="2"/>
      <c r="H198" s="2">
        <f>1016.18805</f>
        <v>1016.18805</v>
      </c>
      <c r="I198" s="2"/>
      <c r="J198" s="2">
        <f t="shared" si="28"/>
        <v>0</v>
      </c>
      <c r="K198" s="2"/>
      <c r="L198" s="2">
        <f>17.636213</f>
        <v>17.636213000000001</v>
      </c>
      <c r="M198" s="2"/>
      <c r="N198" s="2">
        <f>64.48779</f>
        <v>64.487790000000004</v>
      </c>
      <c r="O198" s="2"/>
      <c r="P198" s="2">
        <f t="shared" si="27"/>
        <v>0</v>
      </c>
      <c r="Q198" s="2"/>
      <c r="R198" s="7" t="s">
        <v>22</v>
      </c>
    </row>
    <row r="199" spans="1:18" ht="17">
      <c r="A199" s="1" t="str">
        <f t="shared" si="29"/>
        <v>2020/05/13</v>
      </c>
      <c r="B199" s="1" t="str">
        <f>"06:00"</f>
        <v>06:00</v>
      </c>
      <c r="C199" s="2"/>
      <c r="D199" s="2">
        <f>160</f>
        <v>160</v>
      </c>
      <c r="E199" s="2"/>
      <c r="F199" s="2">
        <f t="shared" si="26"/>
        <v>0</v>
      </c>
      <c r="G199" s="2"/>
      <c r="H199" s="2">
        <f>1016.0161</f>
        <v>1016.0161000000001</v>
      </c>
      <c r="I199" s="2"/>
      <c r="J199" s="2">
        <f>2.465</f>
        <v>2.4649999999999999</v>
      </c>
      <c r="K199" s="2"/>
      <c r="L199" s="2">
        <f>17.254396</f>
        <v>17.254396</v>
      </c>
      <c r="M199" s="2"/>
      <c r="N199" s="2">
        <f>65.389725</f>
        <v>65.389724999999999</v>
      </c>
      <c r="O199" s="2"/>
      <c r="P199" s="2">
        <f t="shared" si="27"/>
        <v>0</v>
      </c>
      <c r="Q199" s="2"/>
      <c r="R199" s="2">
        <f>1.045639</f>
        <v>1.045639</v>
      </c>
    </row>
    <row r="200" spans="1:18" ht="17">
      <c r="A200" s="1" t="str">
        <f t="shared" si="29"/>
        <v>2020/05/13</v>
      </c>
      <c r="B200" s="1" t="str">
        <f>"07:00"</f>
        <v>07:00</v>
      </c>
      <c r="C200" s="2"/>
      <c r="D200" s="2">
        <f>152</f>
        <v>152</v>
      </c>
      <c r="E200" s="2"/>
      <c r="F200" s="2">
        <f t="shared" si="26"/>
        <v>0</v>
      </c>
      <c r="G200" s="2"/>
      <c r="H200" s="2">
        <f>1016.19244</f>
        <v>1016.19244</v>
      </c>
      <c r="I200" s="2"/>
      <c r="J200" s="2">
        <f>28.181944</f>
        <v>28.181944000000001</v>
      </c>
      <c r="K200" s="2"/>
      <c r="L200" s="2">
        <f>17.411648</f>
        <v>17.411648</v>
      </c>
      <c r="M200" s="2"/>
      <c r="N200" s="2">
        <f>66.65139</f>
        <v>66.651390000000006</v>
      </c>
      <c r="O200" s="2"/>
      <c r="P200" s="2">
        <f t="shared" si="27"/>
        <v>0</v>
      </c>
      <c r="Q200" s="2"/>
      <c r="R200" s="2">
        <f>1.0340489</f>
        <v>1.0340488999999999</v>
      </c>
    </row>
    <row r="201" spans="1:18" ht="17">
      <c r="A201" s="1" t="str">
        <f t="shared" si="29"/>
        <v>2020/05/13</v>
      </c>
      <c r="B201" s="1" t="str">
        <f>"08:00"</f>
        <v>08:00</v>
      </c>
      <c r="C201" s="2"/>
      <c r="D201" s="2">
        <f>157</f>
        <v>157</v>
      </c>
      <c r="E201" s="2"/>
      <c r="F201" s="2">
        <f t="shared" si="26"/>
        <v>0</v>
      </c>
      <c r="G201" s="2"/>
      <c r="H201" s="2">
        <f>1016.31116</f>
        <v>1016.31116</v>
      </c>
      <c r="I201" s="2"/>
      <c r="J201" s="2">
        <f>192.93611</f>
        <v>192.93611000000001</v>
      </c>
      <c r="K201" s="2"/>
      <c r="L201" s="2">
        <f>18.09776</f>
        <v>18.097760000000001</v>
      </c>
      <c r="M201" s="2"/>
      <c r="N201" s="2">
        <f>71.47389</f>
        <v>71.473889999999997</v>
      </c>
      <c r="O201" s="2"/>
      <c r="P201" s="2">
        <f>0.57019573</f>
        <v>0.57019573000000001</v>
      </c>
      <c r="Q201" s="2"/>
      <c r="R201" s="2">
        <f>2.076786</f>
        <v>2.0767859999999998</v>
      </c>
    </row>
    <row r="202" spans="1:18" ht="17">
      <c r="A202" s="1" t="str">
        <f t="shared" si="29"/>
        <v>2020/05/13</v>
      </c>
      <c r="B202" s="1" t="str">
        <f>"09:00"</f>
        <v>09:00</v>
      </c>
      <c r="C202" s="2"/>
      <c r="D202" s="2">
        <f>155</f>
        <v>155</v>
      </c>
      <c r="E202" s="2"/>
      <c r="F202" s="2">
        <f t="shared" si="26"/>
        <v>0</v>
      </c>
      <c r="G202" s="2"/>
      <c r="H202" s="2">
        <f>1016.6312</f>
        <v>1016.6312</v>
      </c>
      <c r="I202" s="2"/>
      <c r="J202" s="2">
        <f>158.61667</f>
        <v>158.61667</v>
      </c>
      <c r="K202" s="2"/>
      <c r="L202" s="2">
        <f>19.996376</f>
        <v>19.996376000000001</v>
      </c>
      <c r="M202" s="2"/>
      <c r="N202" s="2">
        <f>70.7925</f>
        <v>70.792500000000004</v>
      </c>
      <c r="O202" s="2"/>
      <c r="P202" s="2">
        <f>1.2705646</f>
        <v>1.2705645999999999</v>
      </c>
      <c r="Q202" s="2"/>
      <c r="R202" s="2">
        <f>2.2537978</f>
        <v>2.2537978000000001</v>
      </c>
    </row>
    <row r="203" spans="1:18" ht="17">
      <c r="A203" s="1" t="str">
        <f t="shared" si="29"/>
        <v>2020/05/13</v>
      </c>
      <c r="B203" s="1" t="str">
        <f>"10:00"</f>
        <v>10:00</v>
      </c>
      <c r="C203" s="2"/>
      <c r="D203" s="2">
        <f>154</f>
        <v>154</v>
      </c>
      <c r="E203" s="2"/>
      <c r="F203" s="2">
        <f t="shared" si="26"/>
        <v>0</v>
      </c>
      <c r="G203" s="2"/>
      <c r="H203" s="2">
        <f>1016.2309</f>
        <v>1016.2309</v>
      </c>
      <c r="I203" s="2"/>
      <c r="J203" s="2">
        <f>233.81473</f>
        <v>233.81473</v>
      </c>
      <c r="K203" s="2"/>
      <c r="L203" s="2">
        <f>22.522873</f>
        <v>22.522873000000001</v>
      </c>
      <c r="M203" s="2"/>
      <c r="N203" s="2">
        <f>57.351112</f>
        <v>57.351112000000001</v>
      </c>
      <c r="O203" s="2"/>
      <c r="P203" s="2">
        <f>1.6757017</f>
        <v>1.6757017000000001</v>
      </c>
      <c r="Q203" s="2"/>
      <c r="R203" s="2">
        <f>2.5179794</f>
        <v>2.5179794000000002</v>
      </c>
    </row>
    <row r="204" spans="1:18" ht="17">
      <c r="A204" s="1" t="str">
        <f t="shared" si="29"/>
        <v>2020/05/13</v>
      </c>
      <c r="B204" s="1" t="str">
        <f>"11:00"</f>
        <v>11:00</v>
      </c>
      <c r="C204" s="2"/>
      <c r="D204" s="2">
        <f>161</f>
        <v>161</v>
      </c>
      <c r="E204" s="2"/>
      <c r="F204" s="2">
        <f t="shared" si="26"/>
        <v>0</v>
      </c>
      <c r="G204" s="2"/>
      <c r="H204" s="2">
        <f>1015.30725</f>
        <v>1015.30725</v>
      </c>
      <c r="I204" s="2"/>
      <c r="J204" s="2">
        <f>642.3386</f>
        <v>642.33860000000004</v>
      </c>
      <c r="K204" s="2"/>
      <c r="L204" s="2">
        <f>26.892612</f>
        <v>26.892612</v>
      </c>
      <c r="M204" s="2"/>
      <c r="N204" s="2">
        <f>37.005</f>
        <v>37.005000000000003</v>
      </c>
      <c r="O204" s="2"/>
      <c r="P204" s="2">
        <f>3.1615918</f>
        <v>3.1615918000000001</v>
      </c>
      <c r="Q204" s="2"/>
      <c r="R204" s="2">
        <f>3.1662426</f>
        <v>3.1662425999999999</v>
      </c>
    </row>
    <row r="205" spans="1:18" ht="17">
      <c r="A205" s="1" t="str">
        <f t="shared" si="29"/>
        <v>2020/05/13</v>
      </c>
      <c r="B205" s="1" t="str">
        <f>"12:00"</f>
        <v>12:00</v>
      </c>
      <c r="C205" s="2"/>
      <c r="D205" s="2">
        <f>158</f>
        <v>158</v>
      </c>
      <c r="E205" s="2"/>
      <c r="F205" s="2">
        <f t="shared" si="26"/>
        <v>0</v>
      </c>
      <c r="G205" s="2"/>
      <c r="H205" s="2">
        <f>1015.2433</f>
        <v>1015.2433</v>
      </c>
      <c r="I205" s="2"/>
      <c r="J205" s="2">
        <f>739.207</f>
        <v>739.20699999999999</v>
      </c>
      <c r="K205" s="2"/>
      <c r="L205" s="2">
        <f>28.395773</f>
        <v>28.395772999999998</v>
      </c>
      <c r="M205" s="2"/>
      <c r="N205" s="2">
        <f>32.46583</f>
        <v>32.465829999999997</v>
      </c>
      <c r="O205" s="2"/>
      <c r="P205" s="2">
        <f>4.608618</f>
        <v>4.6086179999999999</v>
      </c>
      <c r="Q205" s="2"/>
      <c r="R205" s="2">
        <f>2.529569</f>
        <v>2.529569</v>
      </c>
    </row>
    <row r="206" spans="1:18" ht="17">
      <c r="A206" s="1" t="str">
        <f t="shared" si="29"/>
        <v>2020/05/13</v>
      </c>
      <c r="B206" s="1" t="str">
        <f>"13:00"</f>
        <v>13:00</v>
      </c>
      <c r="C206" s="2"/>
      <c r="D206" s="2">
        <f>165</f>
        <v>165</v>
      </c>
      <c r="E206" s="2"/>
      <c r="F206" s="2">
        <f t="shared" si="26"/>
        <v>0</v>
      </c>
      <c r="G206" s="2"/>
      <c r="H206" s="2">
        <f>1014.60956</f>
        <v>1014.60956</v>
      </c>
      <c r="I206" s="2"/>
      <c r="J206" s="2">
        <f>795.8345</f>
        <v>795.83450000000005</v>
      </c>
      <c r="K206" s="2"/>
      <c r="L206" s="2">
        <f>29.210234</f>
        <v>29.210234</v>
      </c>
      <c r="M206" s="2"/>
      <c r="N206" s="2">
        <f>32.385</f>
        <v>32.384999999999998</v>
      </c>
      <c r="O206" s="2"/>
      <c r="P206" s="2">
        <f>5.179015</f>
        <v>5.1790149999999997</v>
      </c>
      <c r="Q206" s="2"/>
      <c r="R206" s="2">
        <f>2.8813953</f>
        <v>2.8813952999999999</v>
      </c>
    </row>
    <row r="207" spans="1:18" ht="17">
      <c r="A207" s="1" t="str">
        <f t="shared" si="29"/>
        <v>2020/05/13</v>
      </c>
      <c r="B207" s="1" t="str">
        <f>"14:00"</f>
        <v>14:00</v>
      </c>
      <c r="C207" s="2"/>
      <c r="D207" s="2">
        <f>154</f>
        <v>154</v>
      </c>
      <c r="E207" s="2"/>
      <c r="F207" s="2">
        <f t="shared" si="26"/>
        <v>0</v>
      </c>
      <c r="G207" s="2"/>
      <c r="H207" s="2">
        <f>1014.1503</f>
        <v>1014.1503</v>
      </c>
      <c r="I207" s="2"/>
      <c r="J207" s="2">
        <f>710.25836</f>
        <v>710.25836000000004</v>
      </c>
      <c r="K207" s="2"/>
      <c r="L207" s="2">
        <f>29.930727</f>
        <v>29.930727000000001</v>
      </c>
      <c r="M207" s="2"/>
      <c r="N207" s="2">
        <f>31.118334</f>
        <v>31.118334000000001</v>
      </c>
      <c r="O207" s="2"/>
      <c r="P207" s="2">
        <f>4.579845</f>
        <v>4.5798449999999997</v>
      </c>
      <c r="Q207" s="2"/>
      <c r="R207" s="2">
        <f>2.389084</f>
        <v>2.389084</v>
      </c>
    </row>
    <row r="208" spans="1:18" ht="17">
      <c r="A208" s="1" t="str">
        <f t="shared" si="29"/>
        <v>2020/05/13</v>
      </c>
      <c r="B208" s="1" t="str">
        <f>"15:00"</f>
        <v>15:00</v>
      </c>
      <c r="C208" s="2"/>
      <c r="D208" s="2">
        <f>165</f>
        <v>165</v>
      </c>
      <c r="E208" s="2"/>
      <c r="F208" s="2">
        <f t="shared" si="26"/>
        <v>0</v>
      </c>
      <c r="G208" s="2"/>
      <c r="H208" s="2">
        <f>1013.68854</f>
        <v>1013.68854</v>
      </c>
      <c r="I208" s="2"/>
      <c r="J208" s="2">
        <f>402.08444</f>
        <v>402.08443999999997</v>
      </c>
      <c r="K208" s="2"/>
      <c r="L208" s="2">
        <f>28.844366</f>
        <v>28.844366000000001</v>
      </c>
      <c r="M208" s="2"/>
      <c r="N208" s="2">
        <f>35.943054</f>
        <v>35.943053999999997</v>
      </c>
      <c r="O208" s="2"/>
      <c r="P208" s="2">
        <f>2.5004492</f>
        <v>2.5004491999999998</v>
      </c>
      <c r="Q208" s="2"/>
      <c r="R208" s="2">
        <f>2.898149</f>
        <v>2.8981490000000001</v>
      </c>
    </row>
    <row r="209" spans="1:18" ht="17">
      <c r="A209" s="1" t="str">
        <f t="shared" si="29"/>
        <v>2020/05/13</v>
      </c>
      <c r="B209" s="1" t="str">
        <f>"16:00"</f>
        <v>16:00</v>
      </c>
      <c r="C209" s="2"/>
      <c r="D209" s="2">
        <f>168</f>
        <v>168</v>
      </c>
      <c r="E209" s="2"/>
      <c r="F209" s="2">
        <f t="shared" si="26"/>
        <v>0</v>
      </c>
      <c r="G209" s="2"/>
      <c r="H209" s="2">
        <f>1012.7831</f>
        <v>1012.7831</v>
      </c>
      <c r="I209" s="2"/>
      <c r="J209" s="2">
        <f>485.81915</f>
        <v>485.81914999999998</v>
      </c>
      <c r="K209" s="2"/>
      <c r="L209" s="2">
        <f>28.132513</f>
        <v>28.132512999999999</v>
      </c>
      <c r="M209" s="2"/>
      <c r="N209" s="2">
        <f>37.989166</f>
        <v>37.989165999999997</v>
      </c>
      <c r="O209" s="2"/>
      <c r="P209" s="2">
        <f>2.5450373</f>
        <v>2.5450373000000002</v>
      </c>
      <c r="Q209" s="2"/>
      <c r="R209" s="2">
        <f>3.0775678</f>
        <v>3.0775678000000002</v>
      </c>
    </row>
    <row r="210" spans="1:18" ht="17">
      <c r="A210" s="1" t="str">
        <f t="shared" si="29"/>
        <v>2020/05/13</v>
      </c>
      <c r="B210" s="1" t="str">
        <f>"17:00"</f>
        <v>17:00</v>
      </c>
      <c r="C210" s="2"/>
      <c r="D210" s="2">
        <f>157</f>
        <v>157</v>
      </c>
      <c r="E210" s="2"/>
      <c r="F210" s="2">
        <f t="shared" si="26"/>
        <v>0</v>
      </c>
      <c r="G210" s="2"/>
      <c r="H210" s="2">
        <f>1012.17505</f>
        <v>1012.1750500000001</v>
      </c>
      <c r="I210" s="2"/>
      <c r="J210" s="2">
        <f>326.9411</f>
        <v>326.94110000000001</v>
      </c>
      <c r="K210" s="2"/>
      <c r="L210" s="2">
        <f>27.799685</f>
        <v>27.799685</v>
      </c>
      <c r="M210" s="2"/>
      <c r="N210" s="2">
        <f>39.080276</f>
        <v>39.080275999999998</v>
      </c>
      <c r="O210" s="2"/>
      <c r="P210" s="2">
        <f>1.5462478</f>
        <v>1.5462478</v>
      </c>
      <c r="Q210" s="2"/>
      <c r="R210" s="2">
        <f>2.8703215</f>
        <v>2.8703215000000002</v>
      </c>
    </row>
    <row r="211" spans="1:18" ht="17">
      <c r="A211" s="1" t="str">
        <f t="shared" si="29"/>
        <v>2020/05/13</v>
      </c>
      <c r="B211" s="1" t="str">
        <f>"18:00"</f>
        <v>18:00</v>
      </c>
      <c r="C211" s="2"/>
      <c r="D211" s="2">
        <f>165</f>
        <v>165</v>
      </c>
      <c r="E211" s="2"/>
      <c r="F211" s="2">
        <f t="shared" si="26"/>
        <v>0</v>
      </c>
      <c r="G211" s="2"/>
      <c r="H211" s="2">
        <f>1012.0196</f>
        <v>1012.0196</v>
      </c>
      <c r="I211" s="2"/>
      <c r="J211" s="2">
        <f>172.54083</f>
        <v>172.54083</v>
      </c>
      <c r="K211" s="2"/>
      <c r="L211" s="2">
        <f>26.982012</f>
        <v>26.982012000000001</v>
      </c>
      <c r="M211" s="2"/>
      <c r="N211" s="2">
        <f>44.133057</f>
        <v>44.133057000000001</v>
      </c>
      <c r="O211" s="2"/>
      <c r="P211" s="2">
        <f>0.51876915</f>
        <v>0.51876915000000001</v>
      </c>
      <c r="Q211" s="2"/>
      <c r="R211" s="2">
        <f>2.566302</f>
        <v>2.5663019999999999</v>
      </c>
    </row>
    <row r="212" spans="1:18" ht="17">
      <c r="A212" s="1" t="str">
        <f t="shared" si="29"/>
        <v>2020/05/13</v>
      </c>
      <c r="B212" s="1" t="str">
        <f>"19:00"</f>
        <v>19:00</v>
      </c>
      <c r="C212" s="2"/>
      <c r="D212" s="2">
        <f>145</f>
        <v>145</v>
      </c>
      <c r="E212" s="2"/>
      <c r="F212" s="2">
        <f t="shared" si="26"/>
        <v>0</v>
      </c>
      <c r="G212" s="2"/>
      <c r="H212" s="2">
        <f>1012.0709</f>
        <v>1012.0709000000001</v>
      </c>
      <c r="I212" s="2"/>
      <c r="J212" s="2">
        <f>95.76278</f>
        <v>95.762780000000006</v>
      </c>
      <c r="K212" s="2"/>
      <c r="L212" s="2">
        <f>26.332535</f>
        <v>26.332535</v>
      </c>
      <c r="M212" s="2"/>
      <c r="N212" s="2">
        <f>47.2425</f>
        <v>47.2425</v>
      </c>
      <c r="O212" s="2"/>
      <c r="P212" s="2">
        <f>0.0905</f>
        <v>9.0499999999999997E-2</v>
      </c>
      <c r="Q212" s="2"/>
      <c r="R212" s="2">
        <f>1.4866072</f>
        <v>1.4866071999999999</v>
      </c>
    </row>
    <row r="213" spans="1:18" ht="17">
      <c r="A213" s="1" t="str">
        <f t="shared" si="29"/>
        <v>2020/05/13</v>
      </c>
      <c r="B213" s="1" t="str">
        <f>"20:00"</f>
        <v>20:00</v>
      </c>
      <c r="C213" s="2"/>
      <c r="D213" s="2">
        <f>144</f>
        <v>144</v>
      </c>
      <c r="E213" s="2"/>
      <c r="F213" s="2">
        <f t="shared" si="26"/>
        <v>0</v>
      </c>
      <c r="G213" s="2"/>
      <c r="H213" s="2">
        <f>1011.7666</f>
        <v>1011.7666</v>
      </c>
      <c r="I213" s="2"/>
      <c r="J213" s="2">
        <f>10.322222</f>
        <v>10.322222</v>
      </c>
      <c r="K213" s="2"/>
      <c r="L213" s="2">
        <f>25.77794</f>
        <v>25.777940000000001</v>
      </c>
      <c r="M213" s="2"/>
      <c r="N213" s="2">
        <f>45.70111</f>
        <v>45.70111</v>
      </c>
      <c r="O213" s="2"/>
      <c r="P213" s="2">
        <f t="shared" ref="P213:P224" si="30">0</f>
        <v>0</v>
      </c>
      <c r="Q213" s="2"/>
      <c r="R213" s="2">
        <f>1.8510944</f>
        <v>1.8510944</v>
      </c>
    </row>
    <row r="214" spans="1:18" ht="17">
      <c r="A214" s="1" t="str">
        <f t="shared" si="29"/>
        <v>2020/05/13</v>
      </c>
      <c r="B214" s="1" t="str">
        <f>"21:00"</f>
        <v>21:00</v>
      </c>
      <c r="C214" s="2"/>
      <c r="D214" s="2">
        <f>160</f>
        <v>160</v>
      </c>
      <c r="E214" s="2"/>
      <c r="F214" s="2">
        <f t="shared" si="26"/>
        <v>0</v>
      </c>
      <c r="G214" s="2"/>
      <c r="H214" s="2">
        <f>1010.9641</f>
        <v>1010.9641</v>
      </c>
      <c r="I214" s="2"/>
      <c r="J214" s="2">
        <f t="shared" ref="J214:J223" si="31">0</f>
        <v>0</v>
      </c>
      <c r="K214" s="2"/>
      <c r="L214" s="2">
        <f>25.519955</f>
        <v>25.519955</v>
      </c>
      <c r="M214" s="2"/>
      <c r="N214" s="2">
        <f>46.246944</f>
        <v>46.246943999999999</v>
      </c>
      <c r="O214" s="2"/>
      <c r="P214" s="2">
        <f t="shared" si="30"/>
        <v>0</v>
      </c>
      <c r="Q214" s="2"/>
      <c r="R214" s="2">
        <f>2.2670588</f>
        <v>2.2670588</v>
      </c>
    </row>
    <row r="215" spans="1:18" ht="17">
      <c r="A215" s="1" t="str">
        <f t="shared" si="29"/>
        <v>2020/05/13</v>
      </c>
      <c r="B215" s="1" t="str">
        <f>"22:00"</f>
        <v>22:00</v>
      </c>
      <c r="C215" s="2"/>
      <c r="D215" s="2">
        <f>157</f>
        <v>157</v>
      </c>
      <c r="E215" s="2"/>
      <c r="F215" s="2">
        <f t="shared" si="26"/>
        <v>0</v>
      </c>
      <c r="G215" s="2"/>
      <c r="H215" s="2">
        <f>1011.1013</f>
        <v>1011.1013</v>
      </c>
      <c r="I215" s="2"/>
      <c r="J215" s="2">
        <f t="shared" si="31"/>
        <v>0</v>
      </c>
      <c r="K215" s="2"/>
      <c r="L215" s="2">
        <f>24.956696</f>
        <v>24.956696000000001</v>
      </c>
      <c r="M215" s="2"/>
      <c r="N215" s="2">
        <f>47.915554</f>
        <v>47.915554</v>
      </c>
      <c r="O215" s="2"/>
      <c r="P215" s="2">
        <f t="shared" si="30"/>
        <v>0</v>
      </c>
      <c r="Q215" s="2"/>
      <c r="R215" s="2">
        <f>2.4777188</f>
        <v>2.4777187999999999</v>
      </c>
    </row>
    <row r="216" spans="1:18" ht="17">
      <c r="A216" s="1" t="str">
        <f t="shared" si="29"/>
        <v>2020/05/13</v>
      </c>
      <c r="B216" s="1" t="str">
        <f>"23:00"</f>
        <v>23:00</v>
      </c>
      <c r="C216" s="2"/>
      <c r="D216" s="2">
        <f>160</f>
        <v>160</v>
      </c>
      <c r="E216" s="2"/>
      <c r="F216" s="2">
        <f t="shared" si="26"/>
        <v>0</v>
      </c>
      <c r="G216" s="2"/>
      <c r="H216" s="2">
        <f>1011.86554</f>
        <v>1011.86554</v>
      </c>
      <c r="I216" s="2"/>
      <c r="J216" s="2">
        <f t="shared" si="31"/>
        <v>0</v>
      </c>
      <c r="K216" s="2"/>
      <c r="L216" s="2">
        <f>23.4003</f>
        <v>23.400300000000001</v>
      </c>
      <c r="M216" s="2"/>
      <c r="N216" s="2">
        <f>53.705</f>
        <v>53.704999999999998</v>
      </c>
      <c r="O216" s="2"/>
      <c r="P216" s="2">
        <f t="shared" si="30"/>
        <v>0</v>
      </c>
      <c r="Q216" s="2"/>
      <c r="R216" s="2">
        <f>2.648907</f>
        <v>2.6489069999999999</v>
      </c>
    </row>
    <row r="217" spans="1:18" ht="17">
      <c r="A217" s="1" t="str">
        <f t="shared" si="29"/>
        <v>2020/05/13</v>
      </c>
      <c r="B217" s="1" t="str">
        <f>"24:00"</f>
        <v>24:00</v>
      </c>
      <c r="C217" s="2"/>
      <c r="D217" s="2">
        <f>155</f>
        <v>155</v>
      </c>
      <c r="E217" s="2"/>
      <c r="F217" s="2">
        <f t="shared" si="26"/>
        <v>0</v>
      </c>
      <c r="G217" s="2"/>
      <c r="H217" s="2">
        <f>1012.8229</f>
        <v>1012.8229</v>
      </c>
      <c r="I217" s="2"/>
      <c r="J217" s="2">
        <f t="shared" si="31"/>
        <v>0</v>
      </c>
      <c r="K217" s="2"/>
      <c r="L217" s="2">
        <f>22.21237</f>
        <v>22.21237</v>
      </c>
      <c r="M217" s="2"/>
      <c r="N217" s="2">
        <f>58.92361</f>
        <v>58.923609999999996</v>
      </c>
      <c r="O217" s="2"/>
      <c r="P217" s="2">
        <f t="shared" si="30"/>
        <v>0</v>
      </c>
      <c r="Q217" s="2"/>
      <c r="R217" s="2">
        <f>3.1091669</f>
        <v>3.1091669</v>
      </c>
    </row>
    <row r="218" spans="1:18" ht="17">
      <c r="A218" s="1" t="str">
        <f t="shared" ref="A218:A241" si="32">"2020/05/14"</f>
        <v>2020/05/14</v>
      </c>
      <c r="B218" s="1" t="str">
        <f>"01:00"</f>
        <v>01:00</v>
      </c>
      <c r="C218" s="2">
        <f>144.33333</f>
        <v>144.33332999999999</v>
      </c>
      <c r="D218" s="2">
        <f>160</f>
        <v>160</v>
      </c>
      <c r="E218" s="2">
        <f>0</f>
        <v>0</v>
      </c>
      <c r="F218" s="2">
        <f t="shared" si="26"/>
        <v>0</v>
      </c>
      <c r="G218" s="2">
        <f>1009.1546</f>
        <v>1009.1546</v>
      </c>
      <c r="H218" s="2">
        <f>1011.46466</f>
        <v>1011.46466</v>
      </c>
      <c r="I218" s="2">
        <f>202.18533</f>
        <v>202.18532999999999</v>
      </c>
      <c r="J218" s="2">
        <f t="shared" si="31"/>
        <v>0</v>
      </c>
      <c r="K218" s="2">
        <f>25.381275</f>
        <v>25.381274999999999</v>
      </c>
      <c r="L218" s="2">
        <f>22.950762</f>
        <v>22.950762000000001</v>
      </c>
      <c r="M218" s="2">
        <f>48.815533</f>
        <v>48.815533000000002</v>
      </c>
      <c r="N218" s="2">
        <f>54.588055</f>
        <v>54.588054999999997</v>
      </c>
      <c r="O218" s="2">
        <f>1.186299</f>
        <v>1.186299</v>
      </c>
      <c r="P218" s="2">
        <f t="shared" si="30"/>
        <v>0</v>
      </c>
      <c r="Q218" s="2">
        <f>2.737336</f>
        <v>2.737336</v>
      </c>
      <c r="R218" s="2">
        <f>3.9093907</f>
        <v>3.9093906999999999</v>
      </c>
    </row>
    <row r="219" spans="1:18" ht="17">
      <c r="A219" s="1" t="str">
        <f t="shared" si="32"/>
        <v>2020/05/14</v>
      </c>
      <c r="B219" s="1" t="str">
        <f>"02:00"</f>
        <v>02:00</v>
      </c>
      <c r="C219" s="2"/>
      <c r="D219" s="2">
        <f>159</f>
        <v>159</v>
      </c>
      <c r="E219" s="2"/>
      <c r="F219" s="2">
        <f t="shared" si="26"/>
        <v>0</v>
      </c>
      <c r="G219" s="2"/>
      <c r="H219" s="2">
        <f>1012.2979</f>
        <v>1012.2979</v>
      </c>
      <c r="I219" s="2"/>
      <c r="J219" s="2">
        <f t="shared" si="31"/>
        <v>0</v>
      </c>
      <c r="K219" s="2"/>
      <c r="L219" s="2">
        <f>22.347092</f>
        <v>22.347092</v>
      </c>
      <c r="M219" s="2"/>
      <c r="N219" s="2">
        <f>57.35278</f>
        <v>57.352780000000003</v>
      </c>
      <c r="O219" s="2"/>
      <c r="P219" s="2">
        <f t="shared" si="30"/>
        <v>0</v>
      </c>
      <c r="Q219" s="2"/>
      <c r="R219" s="2">
        <f>2.4377608</f>
        <v>2.4377607999999999</v>
      </c>
    </row>
    <row r="220" spans="1:18" ht="17">
      <c r="A220" s="1" t="str">
        <f t="shared" si="32"/>
        <v>2020/05/14</v>
      </c>
      <c r="B220" s="1" t="str">
        <f>"03:00"</f>
        <v>03:00</v>
      </c>
      <c r="C220" s="2"/>
      <c r="D220" s="2">
        <f>160</f>
        <v>160</v>
      </c>
      <c r="E220" s="2"/>
      <c r="F220" s="2">
        <f t="shared" si="26"/>
        <v>0</v>
      </c>
      <c r="G220" s="2"/>
      <c r="H220" s="2">
        <f>1013.4733</f>
        <v>1013.4733</v>
      </c>
      <c r="I220" s="2"/>
      <c r="J220" s="2">
        <f t="shared" si="31"/>
        <v>0</v>
      </c>
      <c r="K220" s="2"/>
      <c r="L220" s="2">
        <f>21.5829</f>
        <v>21.582899999999999</v>
      </c>
      <c r="M220" s="2"/>
      <c r="N220" s="2">
        <f>61.190834</f>
        <v>61.190834000000002</v>
      </c>
      <c r="O220" s="2"/>
      <c r="P220" s="2">
        <f t="shared" si="30"/>
        <v>0</v>
      </c>
      <c r="Q220" s="2"/>
      <c r="R220" s="2">
        <f>2.6487725</f>
        <v>2.6487725000000002</v>
      </c>
    </row>
    <row r="221" spans="1:18" ht="17">
      <c r="A221" s="1" t="str">
        <f t="shared" si="32"/>
        <v>2020/05/14</v>
      </c>
      <c r="B221" s="1" t="str">
        <f>"04:00"</f>
        <v>04:00</v>
      </c>
      <c r="C221" s="2"/>
      <c r="D221" s="2">
        <f>169</f>
        <v>169</v>
      </c>
      <c r="E221" s="2"/>
      <c r="F221" s="2">
        <f t="shared" si="26"/>
        <v>0</v>
      </c>
      <c r="G221" s="2"/>
      <c r="H221" s="2">
        <f>1013.37085</f>
        <v>1013.37085</v>
      </c>
      <c r="I221" s="2"/>
      <c r="J221" s="2">
        <f t="shared" si="31"/>
        <v>0</v>
      </c>
      <c r="K221" s="2"/>
      <c r="L221" s="2">
        <f>21.14819</f>
        <v>21.14819</v>
      </c>
      <c r="M221" s="2"/>
      <c r="N221" s="2">
        <f>63.2475</f>
        <v>63.247500000000002</v>
      </c>
      <c r="O221" s="2"/>
      <c r="P221" s="2">
        <f t="shared" si="30"/>
        <v>0</v>
      </c>
      <c r="Q221" s="2"/>
      <c r="R221" s="2">
        <f>2.5299532</f>
        <v>2.5299532</v>
      </c>
    </row>
    <row r="222" spans="1:18" ht="17">
      <c r="A222" s="1" t="str">
        <f t="shared" si="32"/>
        <v>2020/05/14</v>
      </c>
      <c r="B222" s="1" t="str">
        <f>"05:00"</f>
        <v>05:00</v>
      </c>
      <c r="C222" s="2"/>
      <c r="D222" s="2">
        <f>160</f>
        <v>160</v>
      </c>
      <c r="E222" s="2"/>
      <c r="F222" s="2">
        <f t="shared" si="26"/>
        <v>0</v>
      </c>
      <c r="G222" s="2"/>
      <c r="H222" s="2">
        <f>1011.8246</f>
        <v>1011.8246</v>
      </c>
      <c r="I222" s="2"/>
      <c r="J222" s="2">
        <f t="shared" si="31"/>
        <v>0</v>
      </c>
      <c r="K222" s="2"/>
      <c r="L222" s="2">
        <f>21.54251</f>
        <v>21.54251</v>
      </c>
      <c r="M222" s="2"/>
      <c r="N222" s="2">
        <f>61.185833</f>
        <v>61.185833000000002</v>
      </c>
      <c r="O222" s="2"/>
      <c r="P222" s="2">
        <f t="shared" si="30"/>
        <v>0</v>
      </c>
      <c r="Q222" s="2"/>
      <c r="R222" s="2">
        <f>2.6636288</f>
        <v>2.6636288000000001</v>
      </c>
    </row>
    <row r="223" spans="1:18" ht="17">
      <c r="A223" s="1" t="str">
        <f t="shared" si="32"/>
        <v>2020/05/14</v>
      </c>
      <c r="B223" s="1" t="str">
        <f>"06:00"</f>
        <v>06:00</v>
      </c>
      <c r="C223" s="2"/>
      <c r="D223" s="2">
        <f>164</f>
        <v>164</v>
      </c>
      <c r="E223" s="2"/>
      <c r="F223" s="2">
        <f t="shared" si="26"/>
        <v>0</v>
      </c>
      <c r="G223" s="2"/>
      <c r="H223" s="2">
        <f>1011.06555</f>
        <v>1011.06555</v>
      </c>
      <c r="I223" s="2"/>
      <c r="J223" s="2">
        <f t="shared" si="31"/>
        <v>0</v>
      </c>
      <c r="K223" s="2"/>
      <c r="L223" s="2">
        <f>20.968082</f>
        <v>20.968081999999999</v>
      </c>
      <c r="M223" s="2"/>
      <c r="N223" s="2">
        <f>61.695557</f>
        <v>61.695557000000001</v>
      </c>
      <c r="O223" s="2"/>
      <c r="P223" s="2">
        <f t="shared" si="30"/>
        <v>0</v>
      </c>
      <c r="Q223" s="2"/>
      <c r="R223" s="2">
        <f>2.8727827</f>
        <v>2.8727827000000001</v>
      </c>
    </row>
    <row r="224" spans="1:18" ht="17">
      <c r="A224" s="1" t="str">
        <f t="shared" si="32"/>
        <v>2020/05/14</v>
      </c>
      <c r="B224" s="1" t="str">
        <f>"07:00"</f>
        <v>07:00</v>
      </c>
      <c r="C224" s="2"/>
      <c r="D224" s="2">
        <f>165</f>
        <v>165</v>
      </c>
      <c r="E224" s="2"/>
      <c r="F224" s="2">
        <f t="shared" si="26"/>
        <v>0</v>
      </c>
      <c r="G224" s="2"/>
      <c r="H224" s="2">
        <f>1010.52014</f>
        <v>1010.52014</v>
      </c>
      <c r="I224" s="2"/>
      <c r="J224" s="2">
        <f>6.1569443</f>
        <v>6.1569443000000001</v>
      </c>
      <c r="K224" s="2"/>
      <c r="L224" s="2">
        <f>21.08082</f>
        <v>21.080819999999999</v>
      </c>
      <c r="M224" s="2"/>
      <c r="N224" s="2">
        <f>60.782223</f>
        <v>60.782223000000002</v>
      </c>
      <c r="O224" s="2"/>
      <c r="P224" s="2">
        <f t="shared" si="30"/>
        <v>0</v>
      </c>
      <c r="Q224" s="2"/>
      <c r="R224" s="2">
        <f>3.1445186</f>
        <v>3.1445186000000001</v>
      </c>
    </row>
    <row r="225" spans="1:18" ht="17">
      <c r="A225" s="1" t="str">
        <f t="shared" si="32"/>
        <v>2020/05/14</v>
      </c>
      <c r="B225" s="1" t="str">
        <f>"08:00"</f>
        <v>08:00</v>
      </c>
      <c r="C225" s="2"/>
      <c r="D225" s="2">
        <f>165</f>
        <v>165</v>
      </c>
      <c r="E225" s="2"/>
      <c r="F225" s="2">
        <f t="shared" si="26"/>
        <v>0</v>
      </c>
      <c r="G225" s="2"/>
      <c r="H225" s="2">
        <f>1010.66614</f>
        <v>1010.66614</v>
      </c>
      <c r="I225" s="2"/>
      <c r="J225" s="2">
        <f>52.859444</f>
        <v>52.859444000000003</v>
      </c>
      <c r="K225" s="2"/>
      <c r="L225" s="2">
        <f>20.87753</f>
        <v>20.87753</v>
      </c>
      <c r="M225" s="2"/>
      <c r="N225" s="2">
        <f>63.33889</f>
        <v>63.338889999999999</v>
      </c>
      <c r="O225" s="2"/>
      <c r="P225" s="2">
        <f>0.07819445</f>
        <v>7.8194449999999999E-2</v>
      </c>
      <c r="Q225" s="2"/>
      <c r="R225" s="2">
        <f>3.0038054</f>
        <v>3.0038054000000001</v>
      </c>
    </row>
    <row r="226" spans="1:18" ht="17">
      <c r="A226" s="1" t="str">
        <f t="shared" si="32"/>
        <v>2020/05/14</v>
      </c>
      <c r="B226" s="1" t="str">
        <f>"09:00"</f>
        <v>09:00</v>
      </c>
      <c r="C226" s="2"/>
      <c r="D226" s="2">
        <f>158</f>
        <v>158</v>
      </c>
      <c r="E226" s="2"/>
      <c r="F226" s="2">
        <f t="shared" si="26"/>
        <v>0</v>
      </c>
      <c r="G226" s="2"/>
      <c r="H226" s="2">
        <f>1009.5203</f>
        <v>1009.5203</v>
      </c>
      <c r="I226" s="2"/>
      <c r="J226" s="2">
        <f>155.90306</f>
        <v>155.90306000000001</v>
      </c>
      <c r="K226" s="2"/>
      <c r="L226" s="2">
        <f>21.683348</f>
        <v>21.683347999999999</v>
      </c>
      <c r="M226" s="2"/>
      <c r="N226" s="2">
        <f>62.835</f>
        <v>62.835000000000001</v>
      </c>
      <c r="O226" s="2"/>
      <c r="P226" s="2">
        <f>0.8421601</f>
        <v>0.84216009999999997</v>
      </c>
      <c r="Q226" s="2"/>
      <c r="R226" s="2">
        <f>3.162842</f>
        <v>3.1628419999999999</v>
      </c>
    </row>
    <row r="227" spans="1:18" ht="17">
      <c r="A227" s="1" t="str">
        <f t="shared" si="32"/>
        <v>2020/05/14</v>
      </c>
      <c r="B227" s="1" t="str">
        <f>"10:00"</f>
        <v>10:00</v>
      </c>
      <c r="C227" s="2"/>
      <c r="D227" s="2">
        <f>157</f>
        <v>157</v>
      </c>
      <c r="E227" s="2"/>
      <c r="F227" s="2">
        <f t="shared" si="26"/>
        <v>0</v>
      </c>
      <c r="G227" s="2"/>
      <c r="H227" s="2">
        <f>1008.8352</f>
        <v>1008.8352</v>
      </c>
      <c r="I227" s="2"/>
      <c r="J227" s="2">
        <f>265.03888</f>
        <v>265.03888000000001</v>
      </c>
      <c r="K227" s="2"/>
      <c r="L227" s="2">
        <f>22.68424</f>
        <v>22.684239999999999</v>
      </c>
      <c r="M227" s="2"/>
      <c r="N227" s="2">
        <f>61.445835</f>
        <v>61.445835000000002</v>
      </c>
      <c r="O227" s="2"/>
      <c r="P227" s="2">
        <f>1.5874029</f>
        <v>1.5874029000000001</v>
      </c>
      <c r="Q227" s="2"/>
      <c r="R227" s="2">
        <f>3.666794</f>
        <v>3.6667939999999999</v>
      </c>
    </row>
    <row r="228" spans="1:18" ht="17">
      <c r="A228" s="1" t="str">
        <f t="shared" si="32"/>
        <v>2020/05/14</v>
      </c>
      <c r="B228" s="1" t="str">
        <f>"11:00"</f>
        <v>11:00</v>
      </c>
      <c r="C228" s="2"/>
      <c r="D228" s="2">
        <f>160</f>
        <v>160</v>
      </c>
      <c r="E228" s="2"/>
      <c r="F228" s="2">
        <f t="shared" si="26"/>
        <v>0</v>
      </c>
      <c r="G228" s="2"/>
      <c r="H228" s="2">
        <f>1007.95624</f>
        <v>1007.95624</v>
      </c>
      <c r="I228" s="2"/>
      <c r="J228" s="2">
        <f>500.8297</f>
        <v>500.8297</v>
      </c>
      <c r="K228" s="2"/>
      <c r="L228" s="2">
        <f>26.076578</f>
        <v>26.076578000000001</v>
      </c>
      <c r="M228" s="2"/>
      <c r="N228" s="2">
        <f>42.511665</f>
        <v>42.511665000000001</v>
      </c>
      <c r="O228" s="2"/>
      <c r="P228" s="2">
        <f>2.815742</f>
        <v>2.8157420000000002</v>
      </c>
      <c r="Q228" s="2"/>
      <c r="R228" s="2">
        <f>3.7960863</f>
        <v>3.7960862999999998</v>
      </c>
    </row>
    <row r="229" spans="1:18" ht="17">
      <c r="A229" s="1" t="str">
        <f t="shared" si="32"/>
        <v>2020/05/14</v>
      </c>
      <c r="B229" s="1" t="str">
        <f>"12:00"</f>
        <v>12:00</v>
      </c>
      <c r="C229" s="2"/>
      <c r="D229" s="2">
        <f>160</f>
        <v>160</v>
      </c>
      <c r="E229" s="2"/>
      <c r="F229" s="2">
        <f t="shared" si="26"/>
        <v>0</v>
      </c>
      <c r="G229" s="2"/>
      <c r="H229" s="2">
        <f>1007.7369</f>
        <v>1007.7369</v>
      </c>
      <c r="I229" s="2"/>
      <c r="J229" s="2">
        <f>522.9631</f>
        <v>522.96310000000005</v>
      </c>
      <c r="K229" s="2"/>
      <c r="L229" s="2">
        <f>28.183102</f>
        <v>28.183102000000002</v>
      </c>
      <c r="M229" s="2"/>
      <c r="N229" s="2">
        <f>32.525276</f>
        <v>32.525275999999998</v>
      </c>
      <c r="O229" s="2"/>
      <c r="P229" s="2">
        <f>3.7179797</f>
        <v>3.7179796999999999</v>
      </c>
      <c r="Q229" s="2"/>
      <c r="R229" s="2">
        <f>2.9162621</f>
        <v>2.9162621</v>
      </c>
    </row>
    <row r="230" spans="1:18" ht="17">
      <c r="A230" s="1" t="str">
        <f t="shared" si="32"/>
        <v>2020/05/14</v>
      </c>
      <c r="B230" s="1" t="str">
        <f>"13:00"</f>
        <v>13:00</v>
      </c>
      <c r="C230" s="2"/>
      <c r="D230" s="2">
        <f>39</f>
        <v>39</v>
      </c>
      <c r="E230" s="2"/>
      <c r="F230" s="2">
        <f t="shared" si="26"/>
        <v>0</v>
      </c>
      <c r="G230" s="2"/>
      <c r="H230" s="2">
        <f>1008.9375</f>
        <v>1008.9375</v>
      </c>
      <c r="I230" s="2"/>
      <c r="J230" s="2">
        <f>583.21</f>
        <v>583.21</v>
      </c>
      <c r="K230" s="2"/>
      <c r="L230" s="2">
        <f>29.383612</f>
        <v>29.383611999999999</v>
      </c>
      <c r="M230" s="2"/>
      <c r="N230" s="2">
        <f>30.902779</f>
        <v>30.902778999999999</v>
      </c>
      <c r="O230" s="2"/>
      <c r="P230" s="2">
        <f>4.225436</f>
        <v>4.2254360000000002</v>
      </c>
      <c r="Q230" s="2"/>
      <c r="R230" s="2">
        <f>2.43144</f>
        <v>2.4314399999999998</v>
      </c>
    </row>
    <row r="231" spans="1:18" ht="17">
      <c r="A231" s="1" t="str">
        <f t="shared" si="32"/>
        <v>2020/05/14</v>
      </c>
      <c r="B231" s="1" t="str">
        <f>"14:00"</f>
        <v>14:00</v>
      </c>
      <c r="C231" s="2"/>
      <c r="D231" s="2">
        <f>162</f>
        <v>162</v>
      </c>
      <c r="E231" s="2"/>
      <c r="F231" s="2">
        <f t="shared" si="26"/>
        <v>0</v>
      </c>
      <c r="G231" s="2"/>
      <c r="H231" s="2">
        <f>1007.63226</f>
        <v>1007.63226</v>
      </c>
      <c r="I231" s="2"/>
      <c r="J231" s="2">
        <f>703.74585</f>
        <v>703.74585000000002</v>
      </c>
      <c r="K231" s="2"/>
      <c r="L231" s="2">
        <f>29.454008</f>
        <v>29.454008000000002</v>
      </c>
      <c r="M231" s="2"/>
      <c r="N231" s="2">
        <f>31.293888</f>
        <v>31.293887999999999</v>
      </c>
      <c r="O231" s="2"/>
      <c r="P231" s="2">
        <f>4.80942</f>
        <v>4.8094200000000003</v>
      </c>
      <c r="Q231" s="2"/>
      <c r="R231" s="2">
        <f>4.1480117</f>
        <v>4.1480116999999996</v>
      </c>
    </row>
    <row r="232" spans="1:18" ht="17">
      <c r="A232" s="1" t="str">
        <f t="shared" si="32"/>
        <v>2020/05/14</v>
      </c>
      <c r="B232" s="1" t="str">
        <f>"15:00"</f>
        <v>15:00</v>
      </c>
      <c r="C232" s="2"/>
      <c r="D232" s="2">
        <f>163</f>
        <v>163</v>
      </c>
      <c r="E232" s="2"/>
      <c r="F232" s="2">
        <f t="shared" si="26"/>
        <v>0</v>
      </c>
      <c r="G232" s="2"/>
      <c r="H232" s="2">
        <f>1007.6226</f>
        <v>1007.6226</v>
      </c>
      <c r="I232" s="2"/>
      <c r="J232" s="2">
        <f>689.5981</f>
        <v>689.59810000000004</v>
      </c>
      <c r="K232" s="2"/>
      <c r="L232" s="2">
        <f>30.252132</f>
        <v>30.252132</v>
      </c>
      <c r="M232" s="2"/>
      <c r="N232" s="2">
        <f>33.899723</f>
        <v>33.899723000000002</v>
      </c>
      <c r="O232" s="2"/>
      <c r="P232" s="2">
        <f>4.2694864</f>
        <v>4.2694863999999999</v>
      </c>
      <c r="Q232" s="2"/>
      <c r="R232" s="2">
        <f>2.862837</f>
        <v>2.8628369999999999</v>
      </c>
    </row>
    <row r="233" spans="1:18" ht="17">
      <c r="A233" s="1" t="str">
        <f t="shared" si="32"/>
        <v>2020/05/14</v>
      </c>
      <c r="B233" s="1" t="str">
        <f>"16:00"</f>
        <v>16:00</v>
      </c>
      <c r="C233" s="2"/>
      <c r="D233" s="2">
        <f>156</f>
        <v>156</v>
      </c>
      <c r="E233" s="2"/>
      <c r="F233" s="2">
        <f t="shared" si="26"/>
        <v>0</v>
      </c>
      <c r="G233" s="2"/>
      <c r="H233" s="2">
        <f>1007.63116</f>
        <v>1007.63116</v>
      </c>
      <c r="I233" s="2"/>
      <c r="J233" s="2">
        <f>585.2747</f>
        <v>585.27470000000005</v>
      </c>
      <c r="K233" s="2"/>
      <c r="L233" s="2">
        <f>31.266455</f>
        <v>31.266455000000001</v>
      </c>
      <c r="M233" s="2"/>
      <c r="N233" s="2">
        <f>34.682777</f>
        <v>34.682777000000002</v>
      </c>
      <c r="O233" s="2"/>
      <c r="P233" s="2">
        <f>3.1151478</f>
        <v>3.1151477999999999</v>
      </c>
      <c r="Q233" s="2"/>
      <c r="R233" s="2">
        <f>2.5770185</f>
        <v>2.5770184999999999</v>
      </c>
    </row>
    <row r="234" spans="1:18" ht="17">
      <c r="A234" s="1" t="str">
        <f t="shared" si="32"/>
        <v>2020/05/14</v>
      </c>
      <c r="B234" s="1" t="str">
        <f>"17:00"</f>
        <v>17:00</v>
      </c>
      <c r="C234" s="2"/>
      <c r="D234" s="2">
        <f>160</f>
        <v>160</v>
      </c>
      <c r="E234" s="2"/>
      <c r="F234" s="2">
        <f t="shared" si="26"/>
        <v>0</v>
      </c>
      <c r="G234" s="2"/>
      <c r="H234" s="2">
        <f>1006.4507</f>
        <v>1006.4507</v>
      </c>
      <c r="I234" s="2"/>
      <c r="J234" s="2">
        <f>433.87527</f>
        <v>433.87527</v>
      </c>
      <c r="K234" s="2"/>
      <c r="L234" s="2">
        <f>30.932411</f>
        <v>30.932410999999998</v>
      </c>
      <c r="M234" s="2"/>
      <c r="N234" s="2">
        <f>36.54</f>
        <v>36.54</v>
      </c>
      <c r="O234" s="2"/>
      <c r="P234" s="2">
        <f>1.9062488</f>
        <v>1.9062488</v>
      </c>
      <c r="Q234" s="2"/>
      <c r="R234" s="2">
        <f>3.1164482</f>
        <v>3.1164481999999998</v>
      </c>
    </row>
    <row r="235" spans="1:18" ht="17">
      <c r="A235" s="1" t="str">
        <f t="shared" si="32"/>
        <v>2020/05/14</v>
      </c>
      <c r="B235" s="1" t="str">
        <f>"18:00"</f>
        <v>18:00</v>
      </c>
      <c r="C235" s="2"/>
      <c r="D235" s="2">
        <f>153</f>
        <v>153</v>
      </c>
      <c r="E235" s="2"/>
      <c r="F235" s="2">
        <f t="shared" si="26"/>
        <v>0</v>
      </c>
      <c r="G235" s="2"/>
      <c r="H235" s="2">
        <f>1006.16864</f>
        <v>1006.16864</v>
      </c>
      <c r="I235" s="2"/>
      <c r="J235" s="2">
        <f>235.16444</f>
        <v>235.16444000000001</v>
      </c>
      <c r="K235" s="2"/>
      <c r="L235" s="2">
        <f>30.767164</f>
        <v>30.767164000000001</v>
      </c>
      <c r="M235" s="2"/>
      <c r="N235" s="2">
        <f>36.728054</f>
        <v>36.728054</v>
      </c>
      <c r="O235" s="2"/>
      <c r="P235" s="2">
        <f>0.93812335</f>
        <v>0.93812335000000002</v>
      </c>
      <c r="Q235" s="2"/>
      <c r="R235" s="2">
        <f>2.5179546</f>
        <v>2.5179545999999999</v>
      </c>
    </row>
    <row r="236" spans="1:18" ht="17">
      <c r="A236" s="1" t="str">
        <f t="shared" si="32"/>
        <v>2020/05/14</v>
      </c>
      <c r="B236" s="1" t="str">
        <f>"19:00"</f>
        <v>19:00</v>
      </c>
      <c r="C236" s="2"/>
      <c r="D236" s="2">
        <f>179</f>
        <v>179</v>
      </c>
      <c r="E236" s="2"/>
      <c r="F236" s="2">
        <f t="shared" si="26"/>
        <v>0</v>
      </c>
      <c r="G236" s="2"/>
      <c r="H236" s="2">
        <f>1006.51904</f>
        <v>1006.51904</v>
      </c>
      <c r="I236" s="2"/>
      <c r="J236" s="2">
        <f>104.120834</f>
        <v>104.120834</v>
      </c>
      <c r="K236" s="2"/>
      <c r="L236" s="2">
        <f>29.530521</f>
        <v>29.530521</v>
      </c>
      <c r="M236" s="2"/>
      <c r="N236" s="2">
        <f>38.49389</f>
        <v>38.49389</v>
      </c>
      <c r="O236" s="2"/>
      <c r="P236" s="2">
        <f>0.16583404</f>
        <v>0.16583403999999999</v>
      </c>
      <c r="Q236" s="2"/>
      <c r="R236" s="2">
        <f>2.255827</f>
        <v>2.255827</v>
      </c>
    </row>
    <row r="237" spans="1:18" ht="17">
      <c r="A237" s="1" t="str">
        <f t="shared" si="32"/>
        <v>2020/05/14</v>
      </c>
      <c r="B237" s="1" t="str">
        <f>"20:00"</f>
        <v>20:00</v>
      </c>
      <c r="C237" s="2"/>
      <c r="D237" s="2">
        <f>166</f>
        <v>166</v>
      </c>
      <c r="E237" s="2"/>
      <c r="F237" s="2">
        <f t="shared" si="26"/>
        <v>0</v>
      </c>
      <c r="G237" s="2"/>
      <c r="H237" s="2">
        <f>1006.99854</f>
        <v>1006.99854</v>
      </c>
      <c r="I237" s="2"/>
      <c r="J237" s="2">
        <f>13.7075</f>
        <v>13.7075</v>
      </c>
      <c r="K237" s="2"/>
      <c r="L237" s="2">
        <f>27.22771</f>
        <v>27.227709999999998</v>
      </c>
      <c r="M237" s="2"/>
      <c r="N237" s="2">
        <f>42.829166</f>
        <v>42.829166000000001</v>
      </c>
      <c r="O237" s="2"/>
      <c r="P237" s="2">
        <f t="shared" ref="P237:P248" si="33">0</f>
        <v>0</v>
      </c>
      <c r="Q237" s="2"/>
      <c r="R237" s="2">
        <f>2.2552257</f>
        <v>2.2552257</v>
      </c>
    </row>
    <row r="238" spans="1:18" ht="17">
      <c r="A238" s="1" t="str">
        <f t="shared" si="32"/>
        <v>2020/05/14</v>
      </c>
      <c r="B238" s="1" t="str">
        <f>"21:00"</f>
        <v>21:00</v>
      </c>
      <c r="C238" s="2"/>
      <c r="D238" s="2">
        <f>22</f>
        <v>22</v>
      </c>
      <c r="E238" s="2"/>
      <c r="F238" s="2">
        <f t="shared" si="26"/>
        <v>0</v>
      </c>
      <c r="G238" s="2"/>
      <c r="H238" s="2">
        <f>1007.2527</f>
        <v>1007.2527</v>
      </c>
      <c r="I238" s="2"/>
      <c r="J238" s="2">
        <f t="shared" ref="J238:J246" si="34">0</f>
        <v>0</v>
      </c>
      <c r="K238" s="2"/>
      <c r="L238" s="2">
        <f>25.974722</f>
        <v>25.974722</v>
      </c>
      <c r="M238" s="2"/>
      <c r="N238" s="2">
        <f>46.020557</f>
        <v>46.020556999999997</v>
      </c>
      <c r="O238" s="2"/>
      <c r="P238" s="2">
        <f t="shared" si="33"/>
        <v>0</v>
      </c>
      <c r="Q238" s="2"/>
      <c r="R238" s="2">
        <f>0.91985303</f>
        <v>0.91985302999999996</v>
      </c>
    </row>
    <row r="239" spans="1:18" ht="17">
      <c r="A239" s="1" t="str">
        <f t="shared" si="32"/>
        <v>2020/05/14</v>
      </c>
      <c r="B239" s="1" t="str">
        <f>"22:00"</f>
        <v>22:00</v>
      </c>
      <c r="C239" s="2"/>
      <c r="D239" s="2">
        <f>31</f>
        <v>31</v>
      </c>
      <c r="E239" s="2"/>
      <c r="F239" s="2">
        <f t="shared" si="26"/>
        <v>0</v>
      </c>
      <c r="G239" s="2"/>
      <c r="H239" s="2">
        <f>1008.22064</f>
        <v>1008.22064</v>
      </c>
      <c r="I239" s="2"/>
      <c r="J239" s="2">
        <f t="shared" si="34"/>
        <v>0</v>
      </c>
      <c r="K239" s="2"/>
      <c r="L239" s="2">
        <f>24.699263</f>
        <v>24.699262999999998</v>
      </c>
      <c r="M239" s="2"/>
      <c r="N239" s="2">
        <f>51.15917</f>
        <v>51.159170000000003</v>
      </c>
      <c r="O239" s="2"/>
      <c r="P239" s="2">
        <f t="shared" si="33"/>
        <v>0</v>
      </c>
      <c r="Q239" s="2"/>
      <c r="R239" s="2">
        <f>1.4231708</f>
        <v>1.4231708000000001</v>
      </c>
    </row>
    <row r="240" spans="1:18" ht="17">
      <c r="A240" s="1" t="str">
        <f t="shared" si="32"/>
        <v>2020/05/14</v>
      </c>
      <c r="B240" s="1" t="str">
        <f>"23:00"</f>
        <v>23:00</v>
      </c>
      <c r="C240" s="2"/>
      <c r="D240" s="2">
        <f>290</f>
        <v>290</v>
      </c>
      <c r="E240" s="2"/>
      <c r="F240" s="2">
        <f t="shared" si="26"/>
        <v>0</v>
      </c>
      <c r="G240" s="2"/>
      <c r="H240" s="2">
        <f>1008.36804</f>
        <v>1008.36804</v>
      </c>
      <c r="I240" s="2"/>
      <c r="J240" s="2">
        <f t="shared" si="34"/>
        <v>0</v>
      </c>
      <c r="K240" s="2"/>
      <c r="L240" s="2">
        <f>24.34274</f>
        <v>24.342739999999999</v>
      </c>
      <c r="M240" s="2"/>
      <c r="N240" s="2">
        <f>52.735</f>
        <v>52.734999999999999</v>
      </c>
      <c r="O240" s="2"/>
      <c r="P240" s="2">
        <f t="shared" si="33"/>
        <v>0</v>
      </c>
      <c r="Q240" s="2"/>
      <c r="R240" s="2">
        <f>3.298836</f>
        <v>3.2988360000000001</v>
      </c>
    </row>
    <row r="241" spans="1:18" ht="17">
      <c r="A241" s="1" t="str">
        <f t="shared" si="32"/>
        <v>2020/05/14</v>
      </c>
      <c r="B241" s="1" t="str">
        <f>"24:00"</f>
        <v>24:00</v>
      </c>
      <c r="C241" s="2"/>
      <c r="D241" s="2">
        <f>6</f>
        <v>6</v>
      </c>
      <c r="E241" s="2"/>
      <c r="F241" s="2">
        <f t="shared" si="26"/>
        <v>0</v>
      </c>
      <c r="G241" s="2"/>
      <c r="H241" s="2">
        <f>1009.17706</f>
        <v>1009.17706</v>
      </c>
      <c r="I241" s="2"/>
      <c r="J241" s="2">
        <f t="shared" si="34"/>
        <v>0</v>
      </c>
      <c r="K241" s="2"/>
      <c r="L241" s="2">
        <f>24.194736</f>
        <v>24.194735999999999</v>
      </c>
      <c r="M241" s="2"/>
      <c r="N241" s="2">
        <f>53.588333</f>
        <v>53.588332999999999</v>
      </c>
      <c r="O241" s="2"/>
      <c r="P241" s="2">
        <f t="shared" si="33"/>
        <v>0</v>
      </c>
      <c r="Q241" s="2"/>
      <c r="R241" s="2">
        <f>1.1368417</f>
        <v>1.1368417</v>
      </c>
    </row>
    <row r="242" spans="1:18" ht="17">
      <c r="A242" s="1" t="str">
        <f t="shared" ref="A242:A265" si="35">"2020/05/15"</f>
        <v>2020/05/15</v>
      </c>
      <c r="B242" s="1" t="str">
        <f>"01:00"</f>
        <v>01:00</v>
      </c>
      <c r="C242" s="2">
        <f>189.83333</f>
        <v>189.83332999999999</v>
      </c>
      <c r="D242" s="2">
        <f>167</f>
        <v>167</v>
      </c>
      <c r="E242" s="2">
        <f>0</f>
        <v>0</v>
      </c>
      <c r="F242" s="2">
        <f t="shared" si="26"/>
        <v>0</v>
      </c>
      <c r="G242" s="2">
        <f>1012.78015</f>
        <v>1012.78015</v>
      </c>
      <c r="H242" s="2">
        <f>1009.1221</f>
        <v>1009.1221</v>
      </c>
      <c r="I242" s="2">
        <f>148.0892</f>
        <v>148.08920000000001</v>
      </c>
      <c r="J242" s="2">
        <f t="shared" si="34"/>
        <v>0</v>
      </c>
      <c r="K242" s="2">
        <f>23.326344</f>
        <v>23.326343999999999</v>
      </c>
      <c r="L242" s="2">
        <f>24.26013</f>
        <v>24.26013</v>
      </c>
      <c r="M242" s="2">
        <f>61.03168</f>
        <v>61.031680000000001</v>
      </c>
      <c r="N242" s="2">
        <f>53.91722</f>
        <v>53.91722</v>
      </c>
      <c r="O242" s="2">
        <f>0.89997697</f>
        <v>0.89997696999999999</v>
      </c>
      <c r="P242" s="2">
        <f t="shared" si="33"/>
        <v>0</v>
      </c>
      <c r="Q242" s="2">
        <f>1.5793586</f>
        <v>1.5793585999999999</v>
      </c>
      <c r="R242" s="2">
        <f>2.7743685</f>
        <v>2.7743685</v>
      </c>
    </row>
    <row r="243" spans="1:18" ht="17">
      <c r="A243" s="1" t="str">
        <f t="shared" si="35"/>
        <v>2020/05/15</v>
      </c>
      <c r="B243" s="1" t="str">
        <f>"02:00"</f>
        <v>02:00</v>
      </c>
      <c r="C243" s="2"/>
      <c r="D243" s="2">
        <f>151</f>
        <v>151</v>
      </c>
      <c r="E243" s="2"/>
      <c r="F243" s="2">
        <f t="shared" si="26"/>
        <v>0</v>
      </c>
      <c r="G243" s="2"/>
      <c r="H243" s="2">
        <f>1008.87915</f>
        <v>1008.87915</v>
      </c>
      <c r="I243" s="2"/>
      <c r="J243" s="2">
        <f t="shared" si="34"/>
        <v>0</v>
      </c>
      <c r="K243" s="2"/>
      <c r="L243" s="2">
        <f>22.892488</f>
        <v>22.892488</v>
      </c>
      <c r="M243" s="2"/>
      <c r="N243" s="2">
        <f>61.275</f>
        <v>61.274999999999999</v>
      </c>
      <c r="O243" s="2"/>
      <c r="P243" s="2">
        <f t="shared" si="33"/>
        <v>0</v>
      </c>
      <c r="Q243" s="2"/>
      <c r="R243" s="2">
        <f>1.8986131</f>
        <v>1.8986130999999999</v>
      </c>
    </row>
    <row r="244" spans="1:18" ht="17">
      <c r="A244" s="1" t="str">
        <f t="shared" si="35"/>
        <v>2020/05/15</v>
      </c>
      <c r="B244" s="1" t="str">
        <f>"03:00"</f>
        <v>03:00</v>
      </c>
      <c r="C244" s="2"/>
      <c r="D244" s="2">
        <f>76</f>
        <v>76</v>
      </c>
      <c r="E244" s="2"/>
      <c r="F244" s="2">
        <f t="shared" si="26"/>
        <v>0</v>
      </c>
      <c r="G244" s="2"/>
      <c r="H244" s="2">
        <f>1008.6238</f>
        <v>1008.6238</v>
      </c>
      <c r="I244" s="2"/>
      <c r="J244" s="2">
        <f t="shared" si="34"/>
        <v>0</v>
      </c>
      <c r="K244" s="2"/>
      <c r="L244" s="2">
        <f>23.745255</f>
        <v>23.745255</v>
      </c>
      <c r="M244" s="2"/>
      <c r="N244" s="2">
        <f>56.80722</f>
        <v>56.807220000000001</v>
      </c>
      <c r="O244" s="2"/>
      <c r="P244" s="2">
        <f t="shared" si="33"/>
        <v>0</v>
      </c>
      <c r="Q244" s="2"/>
      <c r="R244" s="2">
        <f>1.2651116</f>
        <v>1.2651116</v>
      </c>
    </row>
    <row r="245" spans="1:18" ht="17">
      <c r="A245" s="1" t="str">
        <f t="shared" si="35"/>
        <v>2020/05/15</v>
      </c>
      <c r="B245" s="1" t="str">
        <f>"04:00"</f>
        <v>04:00</v>
      </c>
      <c r="C245" s="2"/>
      <c r="D245" s="2">
        <f>181</f>
        <v>181</v>
      </c>
      <c r="E245" s="2"/>
      <c r="F245" s="2">
        <f t="shared" si="26"/>
        <v>0</v>
      </c>
      <c r="G245" s="2"/>
      <c r="H245" s="2">
        <f>1008.84924</f>
        <v>1008.84924</v>
      </c>
      <c r="I245" s="2"/>
      <c r="J245" s="2">
        <f t="shared" si="34"/>
        <v>0</v>
      </c>
      <c r="K245" s="2"/>
      <c r="L245" s="2">
        <f>22.103285</f>
        <v>22.103285</v>
      </c>
      <c r="M245" s="2"/>
      <c r="N245" s="2">
        <f>65.74528</f>
        <v>65.745279999999994</v>
      </c>
      <c r="O245" s="2"/>
      <c r="P245" s="2">
        <f t="shared" si="33"/>
        <v>0</v>
      </c>
      <c r="Q245" s="2"/>
      <c r="R245" s="2">
        <f>2.0010638</f>
        <v>2.0010637999999998</v>
      </c>
    </row>
    <row r="246" spans="1:18" ht="17">
      <c r="A246" s="1" t="str">
        <f t="shared" si="35"/>
        <v>2020/05/15</v>
      </c>
      <c r="B246" s="1" t="str">
        <f>"05:00"</f>
        <v>05:00</v>
      </c>
      <c r="C246" s="2"/>
      <c r="D246" s="2">
        <f>319</f>
        <v>319</v>
      </c>
      <c r="E246" s="2"/>
      <c r="F246" s="2">
        <f t="shared" ref="F246:F313" si="36">0</f>
        <v>0</v>
      </c>
      <c r="G246" s="2"/>
      <c r="H246" s="2">
        <f>1008.984</f>
        <v>1008.984</v>
      </c>
      <c r="I246" s="2"/>
      <c r="J246" s="2">
        <f t="shared" si="34"/>
        <v>0</v>
      </c>
      <c r="K246" s="2"/>
      <c r="L246" s="2">
        <f>21.221071</f>
        <v>21.221070999999998</v>
      </c>
      <c r="M246" s="2"/>
      <c r="N246" s="2">
        <f>69.58833</f>
        <v>69.588329999999999</v>
      </c>
      <c r="O246" s="2"/>
      <c r="P246" s="2">
        <f t="shared" si="33"/>
        <v>0</v>
      </c>
      <c r="Q246" s="2"/>
      <c r="R246" s="2">
        <f>2.045876</f>
        <v>2.0458759999999998</v>
      </c>
    </row>
    <row r="247" spans="1:18" ht="17">
      <c r="A247" s="1" t="str">
        <f t="shared" si="35"/>
        <v>2020/05/15</v>
      </c>
      <c r="B247" s="1" t="str">
        <f>"06:00"</f>
        <v>06:00</v>
      </c>
      <c r="C247" s="2"/>
      <c r="D247" s="2">
        <f>188</f>
        <v>188</v>
      </c>
      <c r="E247" s="2"/>
      <c r="F247" s="2">
        <f t="shared" si="36"/>
        <v>0</v>
      </c>
      <c r="G247" s="2"/>
      <c r="H247" s="2">
        <f>1009.0382</f>
        <v>1009.0382</v>
      </c>
      <c r="I247" s="2"/>
      <c r="J247" s="2">
        <f>2.4777777</f>
        <v>2.4777776999999999</v>
      </c>
      <c r="K247" s="2"/>
      <c r="L247" s="2">
        <f>20.93124</f>
        <v>20.931239999999999</v>
      </c>
      <c r="M247" s="2"/>
      <c r="N247" s="2">
        <f>71.590836</f>
        <v>71.590835999999996</v>
      </c>
      <c r="O247" s="2"/>
      <c r="P247" s="2">
        <f t="shared" si="33"/>
        <v>0</v>
      </c>
      <c r="Q247" s="2"/>
      <c r="R247" s="2">
        <f>1.9664681</f>
        <v>1.9664680999999999</v>
      </c>
    </row>
    <row r="248" spans="1:18" ht="17">
      <c r="A248" s="1" t="str">
        <f t="shared" si="35"/>
        <v>2020/05/15</v>
      </c>
      <c r="B248" s="1" t="str">
        <f>"07:00"</f>
        <v>07:00</v>
      </c>
      <c r="C248" s="2"/>
      <c r="D248" s="2">
        <f>151</f>
        <v>151</v>
      </c>
      <c r="E248" s="2"/>
      <c r="F248" s="2">
        <f t="shared" si="36"/>
        <v>0</v>
      </c>
      <c r="G248" s="2"/>
      <c r="H248" s="2">
        <f>1010.074</f>
        <v>1010.074</v>
      </c>
      <c r="I248" s="2"/>
      <c r="J248" s="2">
        <f>43.774723</f>
        <v>43.774723000000002</v>
      </c>
      <c r="K248" s="2"/>
      <c r="L248" s="2">
        <f>21.02042</f>
        <v>21.020420000000001</v>
      </c>
      <c r="M248" s="2"/>
      <c r="N248" s="2">
        <f>71.98389</f>
        <v>71.983890000000002</v>
      </c>
      <c r="O248" s="2"/>
      <c r="P248" s="2">
        <f t="shared" si="33"/>
        <v>0</v>
      </c>
      <c r="Q248" s="2"/>
      <c r="R248" s="2">
        <f>1.6438776</f>
        <v>1.6438775999999999</v>
      </c>
    </row>
    <row r="249" spans="1:18" ht="17">
      <c r="A249" s="1" t="str">
        <f t="shared" si="35"/>
        <v>2020/05/15</v>
      </c>
      <c r="B249" s="1" t="str">
        <f>"08:00"</f>
        <v>08:00</v>
      </c>
      <c r="C249" s="2"/>
      <c r="D249" s="2">
        <f>353</f>
        <v>353</v>
      </c>
      <c r="E249" s="2"/>
      <c r="F249" s="2">
        <f t="shared" si="36"/>
        <v>0</v>
      </c>
      <c r="G249" s="2"/>
      <c r="H249" s="2">
        <f>1010.7997</f>
        <v>1010.7997</v>
      </c>
      <c r="I249" s="2"/>
      <c r="J249" s="2">
        <f>140.95555</f>
        <v>140.95554999999999</v>
      </c>
      <c r="K249" s="2"/>
      <c r="L249" s="2">
        <f>22.529291</f>
        <v>22.529291000000001</v>
      </c>
      <c r="M249" s="2"/>
      <c r="N249" s="2">
        <f>65.556946</f>
        <v>65.556945999999996</v>
      </c>
      <c r="O249" s="2"/>
      <c r="P249" s="2">
        <f>0.42775825</f>
        <v>0.42775825000000001</v>
      </c>
      <c r="Q249" s="2"/>
      <c r="R249" s="2">
        <f>1.5554348</f>
        <v>1.5554348</v>
      </c>
    </row>
    <row r="250" spans="1:18" ht="17">
      <c r="A250" s="1" t="str">
        <f t="shared" si="35"/>
        <v>2020/05/15</v>
      </c>
      <c r="B250" s="1" t="str">
        <f>"09:00"</f>
        <v>09:00</v>
      </c>
      <c r="C250" s="2"/>
      <c r="D250" s="2">
        <f>286</f>
        <v>286</v>
      </c>
      <c r="E250" s="2"/>
      <c r="F250" s="2">
        <f t="shared" si="36"/>
        <v>0</v>
      </c>
      <c r="G250" s="2"/>
      <c r="H250" s="2">
        <f>1011.3132</f>
        <v>1011.3132000000001</v>
      </c>
      <c r="I250" s="2"/>
      <c r="J250" s="2">
        <f>227.05632</f>
        <v>227.05632</v>
      </c>
      <c r="K250" s="2"/>
      <c r="L250" s="2">
        <f>25.485966</f>
        <v>25.485966000000001</v>
      </c>
      <c r="M250" s="2"/>
      <c r="N250" s="2">
        <f>53.65899</f>
        <v>53.658990000000003</v>
      </c>
      <c r="O250" s="2"/>
      <c r="P250" s="2">
        <f>1.1870921</f>
        <v>1.1870921000000001</v>
      </c>
      <c r="Q250" s="2"/>
      <c r="R250" s="2">
        <f>2.1705883</f>
        <v>2.1705882999999999</v>
      </c>
    </row>
    <row r="251" spans="1:18" ht="17">
      <c r="A251" s="1" t="str">
        <f t="shared" si="35"/>
        <v>2020/05/15</v>
      </c>
      <c r="B251" s="1" t="str">
        <f>"10:00"</f>
        <v>10:00</v>
      </c>
      <c r="C251" s="2"/>
      <c r="D251" s="2">
        <f>350</f>
        <v>350</v>
      </c>
      <c r="E251" s="2"/>
      <c r="F251" s="2">
        <f t="shared" si="36"/>
        <v>0</v>
      </c>
      <c r="G251" s="2"/>
      <c r="H251" s="2">
        <f>1012.2523</f>
        <v>1012.2523</v>
      </c>
      <c r="I251" s="2"/>
      <c r="J251" s="2">
        <f>274.15417</f>
        <v>274.15417000000002</v>
      </c>
      <c r="K251" s="2"/>
      <c r="L251" s="2">
        <f>25.167604</f>
        <v>25.167604000000001</v>
      </c>
      <c r="M251" s="2"/>
      <c r="N251" s="2">
        <f>55.564167</f>
        <v>55.564166999999998</v>
      </c>
      <c r="O251" s="2"/>
      <c r="P251" s="2">
        <f>1.6152151</f>
        <v>1.6152150999999999</v>
      </c>
      <c r="Q251" s="2"/>
      <c r="R251" s="2">
        <f>1.2565138</f>
        <v>1.2565138</v>
      </c>
    </row>
    <row r="252" spans="1:18" ht="17">
      <c r="A252" s="1" t="str">
        <f t="shared" si="35"/>
        <v>2020/05/15</v>
      </c>
      <c r="B252" s="1" t="str">
        <f>"11:00"</f>
        <v>11:00</v>
      </c>
      <c r="C252" s="2"/>
      <c r="D252" s="2">
        <f>351</f>
        <v>351</v>
      </c>
      <c r="E252" s="2"/>
      <c r="F252" s="2">
        <f t="shared" si="36"/>
        <v>0</v>
      </c>
      <c r="G252" s="2"/>
      <c r="H252" s="2">
        <f>1013.12164</f>
        <v>1013.12164</v>
      </c>
      <c r="I252" s="2"/>
      <c r="J252" s="2">
        <f>356.56</f>
        <v>356.56</v>
      </c>
      <c r="K252" s="2"/>
      <c r="L252" s="2">
        <f>22.392576</f>
        <v>22.392575999999998</v>
      </c>
      <c r="M252" s="2"/>
      <c r="N252" s="2">
        <f>65.05417</f>
        <v>65.054169999999999</v>
      </c>
      <c r="O252" s="2"/>
      <c r="P252" s="2">
        <f>2.3446593</f>
        <v>2.3446593</v>
      </c>
      <c r="Q252" s="2"/>
      <c r="R252" s="2">
        <f>0.6455355</f>
        <v>0.64553550000000004</v>
      </c>
    </row>
    <row r="253" spans="1:18" ht="17">
      <c r="A253" s="1" t="str">
        <f t="shared" si="35"/>
        <v>2020/05/15</v>
      </c>
      <c r="B253" s="1" t="str">
        <f>"12:00"</f>
        <v>12:00</v>
      </c>
      <c r="C253" s="2"/>
      <c r="D253" s="2">
        <f>162</f>
        <v>162</v>
      </c>
      <c r="E253" s="2"/>
      <c r="F253" s="2">
        <f t="shared" si="36"/>
        <v>0</v>
      </c>
      <c r="G253" s="2"/>
      <c r="H253" s="2">
        <f>1013.0963</f>
        <v>1013.0963</v>
      </c>
      <c r="I253" s="2"/>
      <c r="J253" s="2">
        <f>445.60083</f>
        <v>445.60082999999997</v>
      </c>
      <c r="K253" s="2"/>
      <c r="L253" s="2">
        <f>23.854483</f>
        <v>23.854482999999998</v>
      </c>
      <c r="M253" s="2"/>
      <c r="N253" s="2">
        <f>58.06167</f>
        <v>58.061669999999999</v>
      </c>
      <c r="O253" s="2"/>
      <c r="P253" s="2">
        <f>3.1043875</f>
        <v>3.1043875000000001</v>
      </c>
      <c r="Q253" s="2"/>
      <c r="R253" s="2">
        <f>2.107895</f>
        <v>2.1078950000000001</v>
      </c>
    </row>
    <row r="254" spans="1:18" ht="17">
      <c r="A254" s="1" t="str">
        <f t="shared" si="35"/>
        <v>2020/05/15</v>
      </c>
      <c r="B254" s="1" t="str">
        <f>"13:00"</f>
        <v>13:00</v>
      </c>
      <c r="C254" s="2"/>
      <c r="D254" s="2">
        <f>158</f>
        <v>158</v>
      </c>
      <c r="E254" s="2"/>
      <c r="F254" s="2">
        <f t="shared" si="36"/>
        <v>0</v>
      </c>
      <c r="G254" s="2"/>
      <c r="H254" s="2">
        <f>1013.1649</f>
        <v>1013.1649</v>
      </c>
      <c r="I254" s="2"/>
      <c r="J254" s="2">
        <f>380.485</f>
        <v>380.48500000000001</v>
      </c>
      <c r="K254" s="2"/>
      <c r="L254" s="2">
        <f>24.749096</f>
        <v>24.749096000000002</v>
      </c>
      <c r="M254" s="2"/>
      <c r="N254" s="2">
        <f>55.796665</f>
        <v>55.796664999999997</v>
      </c>
      <c r="O254" s="2"/>
      <c r="P254" s="2">
        <f>2.9047718</f>
        <v>2.9047717999999998</v>
      </c>
      <c r="Q254" s="2"/>
      <c r="R254" s="2">
        <f>1.6427557</f>
        <v>1.6427556999999999</v>
      </c>
    </row>
    <row r="255" spans="1:18" ht="17">
      <c r="A255" s="1" t="str">
        <f t="shared" si="35"/>
        <v>2020/05/15</v>
      </c>
      <c r="B255" s="1" t="str">
        <f>"14:00"</f>
        <v>14:00</v>
      </c>
      <c r="C255" s="2"/>
      <c r="D255" s="2">
        <f>160</f>
        <v>160</v>
      </c>
      <c r="E255" s="2"/>
      <c r="F255" s="2">
        <f t="shared" si="36"/>
        <v>0</v>
      </c>
      <c r="G255" s="2"/>
      <c r="H255" s="2">
        <f>1013.46796</f>
        <v>1013.4679599999999</v>
      </c>
      <c r="I255" s="2"/>
      <c r="J255" s="2">
        <f>515.6475</f>
        <v>515.64750000000004</v>
      </c>
      <c r="K255" s="2"/>
      <c r="L255" s="2">
        <f>25.342743</f>
        <v>25.342742999999999</v>
      </c>
      <c r="M255" s="2"/>
      <c r="N255" s="2">
        <f>55.268333</f>
        <v>55.268332999999998</v>
      </c>
      <c r="O255" s="2"/>
      <c r="P255" s="2">
        <f>3.663493</f>
        <v>3.6634929999999999</v>
      </c>
      <c r="Q255" s="2"/>
      <c r="R255" s="2">
        <f>2.0465136</f>
        <v>2.0465135999999999</v>
      </c>
    </row>
    <row r="256" spans="1:18" ht="17">
      <c r="A256" s="1" t="str">
        <f t="shared" si="35"/>
        <v>2020/05/15</v>
      </c>
      <c r="B256" s="1" t="str">
        <f>"15:00"</f>
        <v>15:00</v>
      </c>
      <c r="C256" s="2"/>
      <c r="D256" s="2">
        <f>165</f>
        <v>165</v>
      </c>
      <c r="E256" s="2"/>
      <c r="F256" s="2">
        <f t="shared" si="36"/>
        <v>0</v>
      </c>
      <c r="G256" s="2"/>
      <c r="H256" s="2">
        <f>1013.7852</f>
        <v>1013.7852</v>
      </c>
      <c r="I256" s="2"/>
      <c r="J256" s="2">
        <f>432.15582</f>
        <v>432.15582000000001</v>
      </c>
      <c r="K256" s="2"/>
      <c r="L256" s="2">
        <f>23.82408</f>
        <v>23.824079999999999</v>
      </c>
      <c r="M256" s="2"/>
      <c r="N256" s="2">
        <f>61.968334</f>
        <v>61.968333999999999</v>
      </c>
      <c r="O256" s="2"/>
      <c r="P256" s="2">
        <f>3.0466907</f>
        <v>3.0466907000000001</v>
      </c>
      <c r="Q256" s="2"/>
      <c r="R256" s="2">
        <f>2.5391889</f>
        <v>2.5391889000000001</v>
      </c>
    </row>
    <row r="257" spans="1:18" ht="17">
      <c r="A257" s="1" t="str">
        <f t="shared" si="35"/>
        <v>2020/05/15</v>
      </c>
      <c r="B257" s="1" t="str">
        <f>"16:00"</f>
        <v>16:00</v>
      </c>
      <c r="C257" s="2"/>
      <c r="D257" s="2">
        <f>160</f>
        <v>160</v>
      </c>
      <c r="E257" s="2"/>
      <c r="F257" s="2">
        <f t="shared" si="36"/>
        <v>0</v>
      </c>
      <c r="G257" s="2"/>
      <c r="H257" s="2">
        <f>1014.1722</f>
        <v>1014.1722</v>
      </c>
      <c r="I257" s="2"/>
      <c r="J257" s="2">
        <f>259.00418</f>
        <v>259.00418000000002</v>
      </c>
      <c r="K257" s="2"/>
      <c r="L257" s="2">
        <f>22.129282</f>
        <v>22.129282</v>
      </c>
      <c r="M257" s="2"/>
      <c r="N257" s="2">
        <f>70.638336</f>
        <v>70.638335999999995</v>
      </c>
      <c r="O257" s="2"/>
      <c r="P257" s="2">
        <f>1.6103041</f>
        <v>1.6103041</v>
      </c>
      <c r="Q257" s="2"/>
      <c r="R257" s="2">
        <f>2.9702628</f>
        <v>2.9702628</v>
      </c>
    </row>
    <row r="258" spans="1:18" ht="17">
      <c r="A258" s="1" t="str">
        <f t="shared" si="35"/>
        <v>2020/05/15</v>
      </c>
      <c r="B258" s="1" t="str">
        <f>"17:00"</f>
        <v>17:00</v>
      </c>
      <c r="C258" s="2"/>
      <c r="D258" s="2">
        <f>166</f>
        <v>166</v>
      </c>
      <c r="E258" s="2"/>
      <c r="F258" s="2">
        <f t="shared" si="36"/>
        <v>0</v>
      </c>
      <c r="G258" s="2"/>
      <c r="H258" s="2">
        <f>1014.80756</f>
        <v>1014.80756</v>
      </c>
      <c r="I258" s="2"/>
      <c r="J258" s="2">
        <f>216.37083</f>
        <v>216.37083000000001</v>
      </c>
      <c r="K258" s="2"/>
      <c r="L258" s="2">
        <f>23.44986</f>
        <v>23.449860000000001</v>
      </c>
      <c r="M258" s="2"/>
      <c r="N258" s="2">
        <f>64.78917</f>
        <v>64.789169999999999</v>
      </c>
      <c r="O258" s="2"/>
      <c r="P258" s="2">
        <f>1.1776644</f>
        <v>1.1776644000000001</v>
      </c>
      <c r="Q258" s="2"/>
      <c r="R258" s="2">
        <f>1.8055327</f>
        <v>1.8055327000000001</v>
      </c>
    </row>
    <row r="259" spans="1:18" ht="17">
      <c r="A259" s="1" t="str">
        <f t="shared" si="35"/>
        <v>2020/05/15</v>
      </c>
      <c r="B259" s="1" t="str">
        <f>"18:00"</f>
        <v>18:00</v>
      </c>
      <c r="C259" s="2"/>
      <c r="D259" s="2">
        <f>170</f>
        <v>170</v>
      </c>
      <c r="E259" s="2"/>
      <c r="F259" s="2">
        <f t="shared" si="36"/>
        <v>0</v>
      </c>
      <c r="G259" s="2"/>
      <c r="H259" s="2">
        <f>1014.9395</f>
        <v>1014.9395</v>
      </c>
      <c r="I259" s="2"/>
      <c r="J259" s="2">
        <f>131.7</f>
        <v>131.69999999999999</v>
      </c>
      <c r="K259" s="2"/>
      <c r="L259" s="2">
        <f>23.894184</f>
        <v>23.894183999999999</v>
      </c>
      <c r="M259" s="2"/>
      <c r="N259" s="2">
        <f>59.56</f>
        <v>59.56</v>
      </c>
      <c r="O259" s="2"/>
      <c r="P259" s="2">
        <f>0.51741064</f>
        <v>0.51741064000000003</v>
      </c>
      <c r="Q259" s="2"/>
      <c r="R259" s="2">
        <f>1.2153025</f>
        <v>1.2153025</v>
      </c>
    </row>
    <row r="260" spans="1:18" ht="17">
      <c r="A260" s="1" t="str">
        <f t="shared" si="35"/>
        <v>2020/05/15</v>
      </c>
      <c r="B260" s="1" t="str">
        <f>"19:00"</f>
        <v>19:00</v>
      </c>
      <c r="C260" s="2"/>
      <c r="D260" s="2">
        <f>163</f>
        <v>163</v>
      </c>
      <c r="E260" s="2"/>
      <c r="F260" s="2">
        <f t="shared" si="36"/>
        <v>0</v>
      </c>
      <c r="G260" s="2"/>
      <c r="H260" s="2">
        <f>1015.2436</f>
        <v>1015.2436</v>
      </c>
      <c r="I260" s="2"/>
      <c r="J260" s="2">
        <f>100.82</f>
        <v>100.82</v>
      </c>
      <c r="K260" s="2"/>
      <c r="L260" s="2">
        <f>23.271774</f>
        <v>23.271774000000001</v>
      </c>
      <c r="M260" s="2"/>
      <c r="N260" s="2">
        <f>64.505</f>
        <v>64.504999999999995</v>
      </c>
      <c r="O260" s="2"/>
      <c r="P260" s="2">
        <f t="shared" ref="P260:P272" si="37">0</f>
        <v>0</v>
      </c>
      <c r="Q260" s="2"/>
      <c r="R260" s="2">
        <f>0.9050108</f>
        <v>0.9050108</v>
      </c>
    </row>
    <row r="261" spans="1:18" ht="17">
      <c r="A261" s="1" t="str">
        <f t="shared" si="35"/>
        <v>2020/05/15</v>
      </c>
      <c r="B261" s="1" t="str">
        <f>"20:00"</f>
        <v>20:00</v>
      </c>
      <c r="C261" s="2"/>
      <c r="D261" s="2">
        <f>166</f>
        <v>166</v>
      </c>
      <c r="E261" s="2"/>
      <c r="F261" s="2">
        <f t="shared" si="36"/>
        <v>0</v>
      </c>
      <c r="G261" s="2"/>
      <c r="H261" s="2">
        <f>1015.6044</f>
        <v>1015.6044000000001</v>
      </c>
      <c r="I261" s="2"/>
      <c r="J261" s="2">
        <f>27.165833</f>
        <v>27.165832999999999</v>
      </c>
      <c r="K261" s="2"/>
      <c r="L261" s="2">
        <f>25.679462</f>
        <v>25.679462000000001</v>
      </c>
      <c r="M261" s="2"/>
      <c r="N261" s="2">
        <f>49.823334</f>
        <v>49.823334000000003</v>
      </c>
      <c r="O261" s="2"/>
      <c r="P261" s="2">
        <f t="shared" si="37"/>
        <v>0</v>
      </c>
      <c r="Q261" s="2"/>
      <c r="R261" s="2">
        <f>0.72471917</f>
        <v>0.72471916999999997</v>
      </c>
    </row>
    <row r="262" spans="1:18" ht="17">
      <c r="A262" s="1" t="str">
        <f t="shared" si="35"/>
        <v>2020/05/15</v>
      </c>
      <c r="B262" s="1" t="str">
        <f>"21:00"</f>
        <v>21:00</v>
      </c>
      <c r="C262" s="2"/>
      <c r="D262" s="2">
        <f>143</f>
        <v>143</v>
      </c>
      <c r="E262" s="2"/>
      <c r="F262" s="2">
        <f t="shared" si="36"/>
        <v>0</v>
      </c>
      <c r="G262" s="2"/>
      <c r="H262" s="2">
        <f>1015.92694</f>
        <v>1015.9269399999999</v>
      </c>
      <c r="I262" s="2"/>
      <c r="J262" s="2">
        <f>0.2125</f>
        <v>0.21249999999999999</v>
      </c>
      <c r="K262" s="2"/>
      <c r="L262" s="2">
        <f>25.129375</f>
        <v>25.129375</v>
      </c>
      <c r="M262" s="2"/>
      <c r="N262" s="2">
        <f>52.7775</f>
        <v>52.777500000000003</v>
      </c>
      <c r="O262" s="2"/>
      <c r="P262" s="2">
        <f t="shared" si="37"/>
        <v>0</v>
      </c>
      <c r="Q262" s="2"/>
      <c r="R262" s="2">
        <f>0.3713189</f>
        <v>0.37131890000000001</v>
      </c>
    </row>
    <row r="263" spans="1:18" ht="17">
      <c r="A263" s="1" t="str">
        <f t="shared" si="35"/>
        <v>2020/05/15</v>
      </c>
      <c r="B263" s="1" t="str">
        <f>"22:00"</f>
        <v>22:00</v>
      </c>
      <c r="C263" s="2"/>
      <c r="D263" s="2">
        <f>349</f>
        <v>349</v>
      </c>
      <c r="E263" s="2"/>
      <c r="F263" s="2">
        <f t="shared" si="36"/>
        <v>0</v>
      </c>
      <c r="G263" s="2"/>
      <c r="H263" s="2">
        <f>1016.73395</f>
        <v>1016.73395</v>
      </c>
      <c r="I263" s="2"/>
      <c r="J263" s="2">
        <f t="shared" ref="J263:J270" si="38">0</f>
        <v>0</v>
      </c>
      <c r="K263" s="2"/>
      <c r="L263" s="2">
        <f>22.20302</f>
        <v>22.203019999999999</v>
      </c>
      <c r="M263" s="2"/>
      <c r="N263" s="2">
        <f>65.168335</f>
        <v>65.168334999999999</v>
      </c>
      <c r="O263" s="2"/>
      <c r="P263" s="2">
        <f t="shared" si="37"/>
        <v>0</v>
      </c>
      <c r="Q263" s="2"/>
      <c r="R263" s="2">
        <f>0.6454915</f>
        <v>0.6454915</v>
      </c>
    </row>
    <row r="264" spans="1:18" ht="17">
      <c r="A264" s="1" t="str">
        <f t="shared" si="35"/>
        <v>2020/05/15</v>
      </c>
      <c r="B264" s="1" t="str">
        <f>"23:00"</f>
        <v>23:00</v>
      </c>
      <c r="C264" s="2"/>
      <c r="D264" s="2">
        <f>8</f>
        <v>8</v>
      </c>
      <c r="E264" s="2"/>
      <c r="F264" s="2">
        <f t="shared" si="36"/>
        <v>0</v>
      </c>
      <c r="G264" s="2"/>
      <c r="H264" s="2">
        <f>1017.24304</f>
        <v>1017.24304</v>
      </c>
      <c r="I264" s="2"/>
      <c r="J264" s="2">
        <f t="shared" si="38"/>
        <v>0</v>
      </c>
      <c r="K264" s="2"/>
      <c r="L264" s="2">
        <f>22.735325</f>
        <v>22.735325</v>
      </c>
      <c r="M264" s="2"/>
      <c r="N264" s="2">
        <f>58.079166</f>
        <v>58.079166000000001</v>
      </c>
      <c r="O264" s="2"/>
      <c r="P264" s="2">
        <f t="shared" si="37"/>
        <v>0</v>
      </c>
      <c r="Q264" s="2"/>
      <c r="R264" s="2">
        <f>0.77907425</f>
        <v>0.77907424999999997</v>
      </c>
    </row>
    <row r="265" spans="1:18" ht="17">
      <c r="A265" s="1" t="str">
        <f t="shared" si="35"/>
        <v>2020/05/15</v>
      </c>
      <c r="B265" s="1" t="str">
        <f>"24:00"</f>
        <v>24:00</v>
      </c>
      <c r="C265" s="2"/>
      <c r="D265" s="2">
        <f>13</f>
        <v>13</v>
      </c>
      <c r="E265" s="2"/>
      <c r="F265" s="2">
        <f t="shared" si="36"/>
        <v>0</v>
      </c>
      <c r="G265" s="2"/>
      <c r="H265" s="2">
        <f>1017.48035</f>
        <v>1017.48035</v>
      </c>
      <c r="I265" s="2"/>
      <c r="J265" s="2">
        <f t="shared" si="38"/>
        <v>0</v>
      </c>
      <c r="K265" s="2"/>
      <c r="L265" s="2">
        <f>21.820211</f>
        <v>21.820211</v>
      </c>
      <c r="M265" s="2"/>
      <c r="N265" s="2">
        <f>57.5825</f>
        <v>57.582500000000003</v>
      </c>
      <c r="O265" s="2"/>
      <c r="P265" s="2">
        <f t="shared" si="37"/>
        <v>0</v>
      </c>
      <c r="Q265" s="2"/>
      <c r="R265" s="2">
        <f>0.92809045</f>
        <v>0.92809045000000001</v>
      </c>
    </row>
    <row r="266" spans="1:18" ht="17">
      <c r="A266" s="1" t="str">
        <f t="shared" ref="A266:A289" si="39">"2020/05/16"</f>
        <v>2020/05/16</v>
      </c>
      <c r="B266" s="1" t="str">
        <f>"01:00"</f>
        <v>01:00</v>
      </c>
      <c r="C266" s="2">
        <f>172.17392</f>
        <v>172.17392000000001</v>
      </c>
      <c r="D266" s="2">
        <f>341</f>
        <v>341</v>
      </c>
      <c r="E266" s="2">
        <f>0</f>
        <v>0</v>
      </c>
      <c r="F266" s="2">
        <f t="shared" si="36"/>
        <v>0</v>
      </c>
      <c r="G266" s="2">
        <f>1018.0297</f>
        <v>1018.0297</v>
      </c>
      <c r="H266" s="2">
        <f>1017.568</f>
        <v>1017.568</v>
      </c>
      <c r="I266" s="2">
        <f>224.83083</f>
        <v>224.83082999999999</v>
      </c>
      <c r="J266" s="2">
        <f t="shared" si="38"/>
        <v>0</v>
      </c>
      <c r="K266" s="2">
        <f>20.834528</f>
        <v>20.834527999999999</v>
      </c>
      <c r="L266" s="2">
        <f>21.681831</f>
        <v>21.681830999999999</v>
      </c>
      <c r="M266" s="2">
        <f>67.15896</f>
        <v>67.158959999999993</v>
      </c>
      <c r="N266" s="2">
        <f>51.1175</f>
        <v>51.1175</v>
      </c>
      <c r="O266" s="2">
        <f>1.3427011</f>
        <v>1.3427011</v>
      </c>
      <c r="P266" s="2">
        <f t="shared" si="37"/>
        <v>0</v>
      </c>
      <c r="Q266" s="2">
        <f>1.1887822</f>
        <v>1.1887821999999999</v>
      </c>
      <c r="R266" s="2">
        <f>1.8441569</f>
        <v>1.8441569</v>
      </c>
    </row>
    <row r="267" spans="1:18" ht="17">
      <c r="A267" s="1" t="str">
        <f t="shared" si="39"/>
        <v>2020/05/16</v>
      </c>
      <c r="B267" s="1" t="str">
        <f>"02:00"</f>
        <v>02:00</v>
      </c>
      <c r="C267" s="2"/>
      <c r="D267" s="2">
        <f>336</f>
        <v>336</v>
      </c>
      <c r="E267" s="2"/>
      <c r="F267" s="2">
        <f t="shared" si="36"/>
        <v>0</v>
      </c>
      <c r="G267" s="2"/>
      <c r="H267" s="2">
        <f>1017.3286</f>
        <v>1017.3286000000001</v>
      </c>
      <c r="I267" s="2"/>
      <c r="J267" s="2">
        <f t="shared" si="38"/>
        <v>0</v>
      </c>
      <c r="K267" s="2"/>
      <c r="L267" s="2">
        <f>21.583916</f>
        <v>21.583915999999999</v>
      </c>
      <c r="M267" s="2"/>
      <c r="N267" s="2">
        <f>47.5425</f>
        <v>47.542499999999997</v>
      </c>
      <c r="O267" s="2"/>
      <c r="P267" s="2">
        <f t="shared" si="37"/>
        <v>0</v>
      </c>
      <c r="Q267" s="2"/>
      <c r="R267" s="2">
        <f>1.8073682</f>
        <v>1.8073682</v>
      </c>
    </row>
    <row r="268" spans="1:18" ht="17">
      <c r="A268" s="1" t="str">
        <f t="shared" si="39"/>
        <v>2020/05/16</v>
      </c>
      <c r="B268" s="1" t="str">
        <f>"03:00"</f>
        <v>03:00</v>
      </c>
      <c r="C268" s="2"/>
      <c r="D268" s="2">
        <f>351</f>
        <v>351</v>
      </c>
      <c r="E268" s="2"/>
      <c r="F268" s="2">
        <f t="shared" si="36"/>
        <v>0</v>
      </c>
      <c r="G268" s="2"/>
      <c r="H268" s="2">
        <f>1017.3991</f>
        <v>1017.3991</v>
      </c>
      <c r="I268" s="2"/>
      <c r="J268" s="2">
        <f t="shared" si="38"/>
        <v>0</v>
      </c>
      <c r="K268" s="2"/>
      <c r="L268" s="2">
        <f>21.356304</f>
        <v>21.356304000000002</v>
      </c>
      <c r="M268" s="2"/>
      <c r="N268" s="2">
        <f>48.335835</f>
        <v>48.335835000000003</v>
      </c>
      <c r="O268" s="2"/>
      <c r="P268" s="2">
        <f t="shared" si="37"/>
        <v>0</v>
      </c>
      <c r="Q268" s="2"/>
      <c r="R268" s="2">
        <f>1.3069243</f>
        <v>1.3069242999999999</v>
      </c>
    </row>
    <row r="269" spans="1:18" ht="17">
      <c r="A269" s="1" t="str">
        <f t="shared" si="39"/>
        <v>2020/05/16</v>
      </c>
      <c r="B269" s="1" t="str">
        <f>"04:00"</f>
        <v>04:00</v>
      </c>
      <c r="C269" s="2"/>
      <c r="D269" s="2">
        <f>345</f>
        <v>345</v>
      </c>
      <c r="E269" s="2"/>
      <c r="F269" s="2">
        <f t="shared" si="36"/>
        <v>0</v>
      </c>
      <c r="G269" s="2"/>
      <c r="H269" s="2">
        <f>1017.7528</f>
        <v>1017.7528</v>
      </c>
      <c r="I269" s="2"/>
      <c r="J269" s="2">
        <f t="shared" si="38"/>
        <v>0</v>
      </c>
      <c r="K269" s="2"/>
      <c r="L269" s="2">
        <f>19.832767</f>
        <v>19.832767</v>
      </c>
      <c r="M269" s="2"/>
      <c r="N269" s="2">
        <f>57.944168</f>
        <v>57.944167999999998</v>
      </c>
      <c r="O269" s="2"/>
      <c r="P269" s="2">
        <f t="shared" si="37"/>
        <v>0</v>
      </c>
      <c r="Q269" s="2"/>
      <c r="R269" s="2">
        <f>1.1903551</f>
        <v>1.1903551000000001</v>
      </c>
    </row>
    <row r="270" spans="1:18" ht="17">
      <c r="A270" s="1" t="str">
        <f t="shared" si="39"/>
        <v>2020/05/16</v>
      </c>
      <c r="B270" s="1" t="str">
        <f>"05:00"</f>
        <v>05:00</v>
      </c>
      <c r="C270" s="2"/>
      <c r="D270" s="7" t="s">
        <v>22</v>
      </c>
      <c r="E270" s="2"/>
      <c r="F270" s="2">
        <f t="shared" si="36"/>
        <v>0</v>
      </c>
      <c r="G270" s="2"/>
      <c r="H270" s="2">
        <f>1017.6246</f>
        <v>1017.6246</v>
      </c>
      <c r="I270" s="2"/>
      <c r="J270" s="2">
        <f t="shared" si="38"/>
        <v>0</v>
      </c>
      <c r="K270" s="2"/>
      <c r="L270" s="2">
        <f>19.882582</f>
        <v>19.882581999999999</v>
      </c>
      <c r="M270" s="2"/>
      <c r="N270" s="2">
        <f>53.916668</f>
        <v>53.916668000000001</v>
      </c>
      <c r="O270" s="2"/>
      <c r="P270" s="2">
        <f t="shared" si="37"/>
        <v>0</v>
      </c>
      <c r="Q270" s="2"/>
      <c r="R270" s="7" t="s">
        <v>22</v>
      </c>
    </row>
    <row r="271" spans="1:18" ht="17">
      <c r="A271" s="1" t="str">
        <f t="shared" si="39"/>
        <v>2020/05/16</v>
      </c>
      <c r="B271" s="1" t="str">
        <f>"06:00"</f>
        <v>06:00</v>
      </c>
      <c r="C271" s="2"/>
      <c r="D271" s="2">
        <f>162</f>
        <v>162</v>
      </c>
      <c r="E271" s="2"/>
      <c r="F271" s="2">
        <f t="shared" si="36"/>
        <v>0</v>
      </c>
      <c r="G271" s="2"/>
      <c r="H271" s="2">
        <f>1017.91583</f>
        <v>1017.91583</v>
      </c>
      <c r="I271" s="2"/>
      <c r="J271" s="2">
        <f>3.2033334</f>
        <v>3.2033334</v>
      </c>
      <c r="K271" s="2"/>
      <c r="L271" s="2">
        <f>19.790653</f>
        <v>19.790652999999999</v>
      </c>
      <c r="M271" s="2"/>
      <c r="N271" s="2">
        <f>54.743332</f>
        <v>54.743332000000002</v>
      </c>
      <c r="O271" s="2"/>
      <c r="P271" s="2">
        <f t="shared" si="37"/>
        <v>0</v>
      </c>
      <c r="Q271" s="2"/>
      <c r="R271" s="2">
        <f>1.1572694</f>
        <v>1.1572693999999999</v>
      </c>
    </row>
    <row r="272" spans="1:18" ht="17">
      <c r="A272" s="1" t="str">
        <f t="shared" si="39"/>
        <v>2020/05/16</v>
      </c>
      <c r="B272" s="1" t="str">
        <f>"07:00"</f>
        <v>07:00</v>
      </c>
      <c r="C272" s="2"/>
      <c r="D272" s="2">
        <f>152</f>
        <v>152</v>
      </c>
      <c r="E272" s="2"/>
      <c r="F272" s="2">
        <f t="shared" si="36"/>
        <v>0</v>
      </c>
      <c r="G272" s="2"/>
      <c r="H272" s="2">
        <f>1018.8678</f>
        <v>1018.8678</v>
      </c>
      <c r="I272" s="2"/>
      <c r="J272" s="2">
        <f>54.52</f>
        <v>54.52</v>
      </c>
      <c r="K272" s="2"/>
      <c r="L272" s="2">
        <f>19.096046</f>
        <v>19.096046000000001</v>
      </c>
      <c r="M272" s="2"/>
      <c r="N272" s="2">
        <f>61.333332</f>
        <v>61.333331999999999</v>
      </c>
      <c r="O272" s="2"/>
      <c r="P272" s="2">
        <f t="shared" si="37"/>
        <v>0</v>
      </c>
      <c r="Q272" s="2"/>
      <c r="R272" s="2">
        <f>0.4182181</f>
        <v>0.41821809999999998</v>
      </c>
    </row>
    <row r="273" spans="1:18" ht="17">
      <c r="A273" s="1" t="str">
        <f t="shared" si="39"/>
        <v>2020/05/16</v>
      </c>
      <c r="B273" s="1" t="str">
        <f>"08:00"</f>
        <v>08:00</v>
      </c>
      <c r="C273" s="2"/>
      <c r="D273" s="2">
        <f>76</f>
        <v>76</v>
      </c>
      <c r="E273" s="2"/>
      <c r="F273" s="2">
        <f t="shared" si="36"/>
        <v>0</v>
      </c>
      <c r="G273" s="2"/>
      <c r="H273" s="2">
        <f>1019.13654</f>
        <v>1019.13654</v>
      </c>
      <c r="I273" s="2"/>
      <c r="J273" s="2">
        <f>134.36917</f>
        <v>134.36917</v>
      </c>
      <c r="K273" s="2"/>
      <c r="L273" s="2">
        <f>20.020954</f>
        <v>20.020954</v>
      </c>
      <c r="M273" s="2"/>
      <c r="N273" s="2">
        <f>58.435833</f>
        <v>58.435833000000002</v>
      </c>
      <c r="O273" s="2"/>
      <c r="P273" s="2">
        <f>0.44524795</f>
        <v>0.44524795</v>
      </c>
      <c r="Q273" s="2"/>
      <c r="R273" s="2">
        <f>0.25032112</f>
        <v>0.25032112000000001</v>
      </c>
    </row>
    <row r="274" spans="1:18" ht="17">
      <c r="A274" s="1" t="str">
        <f t="shared" si="39"/>
        <v>2020/05/16</v>
      </c>
      <c r="B274" s="1" t="str">
        <f>"09:00"</f>
        <v>09:00</v>
      </c>
      <c r="C274" s="2"/>
      <c r="D274" s="2">
        <f>154</f>
        <v>154</v>
      </c>
      <c r="E274" s="2"/>
      <c r="F274" s="2">
        <f t="shared" si="36"/>
        <v>0</v>
      </c>
      <c r="G274" s="2"/>
      <c r="H274" s="2">
        <f>1019.4162</f>
        <v>1019.4162</v>
      </c>
      <c r="I274" s="2"/>
      <c r="J274" s="2">
        <f>220.0025</f>
        <v>220.0025</v>
      </c>
      <c r="K274" s="2"/>
      <c r="L274" s="2">
        <f>21.005056</f>
        <v>21.005056</v>
      </c>
      <c r="M274" s="2"/>
      <c r="N274" s="2">
        <f>57.9425</f>
        <v>57.942500000000003</v>
      </c>
      <c r="O274" s="2"/>
      <c r="P274" s="2">
        <f>1.1858964</f>
        <v>1.1858964000000001</v>
      </c>
      <c r="Q274" s="2"/>
      <c r="R274" s="2">
        <f>0.98104674</f>
        <v>0.98104674000000003</v>
      </c>
    </row>
    <row r="275" spans="1:18" ht="17">
      <c r="A275" s="1" t="str">
        <f t="shared" si="39"/>
        <v>2020/05/16</v>
      </c>
      <c r="B275" s="1" t="str">
        <f>"10:00"</f>
        <v>10:00</v>
      </c>
      <c r="C275" s="2"/>
      <c r="D275" s="2">
        <f>163</f>
        <v>163</v>
      </c>
      <c r="E275" s="2"/>
      <c r="F275" s="2">
        <f t="shared" si="36"/>
        <v>0</v>
      </c>
      <c r="G275" s="2"/>
      <c r="H275" s="2">
        <f>1019.37933</f>
        <v>1019.37933</v>
      </c>
      <c r="I275" s="2"/>
      <c r="J275" s="2">
        <f>323.27335</f>
        <v>323.27334999999999</v>
      </c>
      <c r="K275" s="2"/>
      <c r="L275" s="2">
        <f>21.374208</f>
        <v>21.374207999999999</v>
      </c>
      <c r="M275" s="2"/>
      <c r="N275" s="2">
        <f>59.0025</f>
        <v>59.002499999999998</v>
      </c>
      <c r="O275" s="2"/>
      <c r="P275" s="2">
        <f>1.8736805</f>
        <v>1.8736805000000001</v>
      </c>
      <c r="Q275" s="2"/>
      <c r="R275" s="2">
        <f>1.6121311</f>
        <v>1.6121311</v>
      </c>
    </row>
    <row r="276" spans="1:18" ht="17">
      <c r="A276" s="1" t="str">
        <f t="shared" si="39"/>
        <v>2020/05/16</v>
      </c>
      <c r="B276" s="1" t="str">
        <f>"11:00"</f>
        <v>11:00</v>
      </c>
      <c r="C276" s="2"/>
      <c r="D276" s="2">
        <f>169</f>
        <v>169</v>
      </c>
      <c r="E276" s="2"/>
      <c r="F276" s="2">
        <f t="shared" si="36"/>
        <v>0</v>
      </c>
      <c r="G276" s="2"/>
      <c r="H276" s="2">
        <f>1019.47375</f>
        <v>1019.47375</v>
      </c>
      <c r="I276" s="2"/>
      <c r="J276" s="2">
        <f>567.9775</f>
        <v>567.97749999999996</v>
      </c>
      <c r="K276" s="2"/>
      <c r="L276" s="2">
        <f>21.489466</f>
        <v>21.489466</v>
      </c>
      <c r="M276" s="2"/>
      <c r="N276" s="2">
        <f>67.32333</f>
        <v>67.323329999999999</v>
      </c>
      <c r="O276" s="2"/>
      <c r="P276" s="2">
        <f>3.245644</f>
        <v>3.245644</v>
      </c>
      <c r="Q276" s="2"/>
      <c r="R276" s="2">
        <f>1.6092641</f>
        <v>1.6092641000000001</v>
      </c>
    </row>
    <row r="277" spans="1:18" ht="17">
      <c r="A277" s="1" t="str">
        <f t="shared" si="39"/>
        <v>2020/05/16</v>
      </c>
      <c r="B277" s="1" t="str">
        <f>"12:00"</f>
        <v>12:00</v>
      </c>
      <c r="C277" s="2"/>
      <c r="D277" s="2">
        <f>171</f>
        <v>171</v>
      </c>
      <c r="E277" s="2"/>
      <c r="F277" s="2">
        <f t="shared" si="36"/>
        <v>0</v>
      </c>
      <c r="G277" s="2"/>
      <c r="H277" s="2">
        <f>1019.40875</f>
        <v>1019.4087500000001</v>
      </c>
      <c r="I277" s="2"/>
      <c r="J277" s="2">
        <f>646.33</f>
        <v>646.33000000000004</v>
      </c>
      <c r="K277" s="2"/>
      <c r="L277" s="2">
        <f>22.161087</f>
        <v>22.161086999999998</v>
      </c>
      <c r="M277" s="2"/>
      <c r="N277" s="2">
        <f>69.06917</f>
        <v>69.06917</v>
      </c>
      <c r="O277" s="2"/>
      <c r="P277" s="2">
        <f>4.43173</f>
        <v>4.4317299999999999</v>
      </c>
      <c r="Q277" s="2"/>
      <c r="R277" s="2">
        <f>1.3228616</f>
        <v>1.3228616</v>
      </c>
    </row>
    <row r="278" spans="1:18" ht="17">
      <c r="A278" s="1" t="str">
        <f t="shared" si="39"/>
        <v>2020/05/16</v>
      </c>
      <c r="B278" s="1" t="str">
        <f>"13:00"</f>
        <v>13:00</v>
      </c>
      <c r="C278" s="2"/>
      <c r="D278" s="2">
        <f>170</f>
        <v>170</v>
      </c>
      <c r="E278" s="2"/>
      <c r="F278" s="2">
        <f t="shared" si="36"/>
        <v>0</v>
      </c>
      <c r="G278" s="2"/>
      <c r="H278" s="2">
        <f>1019.42126</f>
        <v>1019.42126</v>
      </c>
      <c r="I278" s="2"/>
      <c r="J278" s="2">
        <f>823.3125</f>
        <v>823.3125</v>
      </c>
      <c r="K278" s="2"/>
      <c r="L278" s="2">
        <f>22.011454</f>
        <v>22.011454000000001</v>
      </c>
      <c r="M278" s="2"/>
      <c r="N278" s="2">
        <f>71.6375</f>
        <v>71.637500000000003</v>
      </c>
      <c r="O278" s="2"/>
      <c r="P278" s="2">
        <f>5.6836305</f>
        <v>5.6836304999999996</v>
      </c>
      <c r="Q278" s="2"/>
      <c r="R278" s="2">
        <f>1.6542706</f>
        <v>1.6542706</v>
      </c>
    </row>
    <row r="279" spans="1:18" ht="17">
      <c r="A279" s="1" t="str">
        <f t="shared" si="39"/>
        <v>2020/05/16</v>
      </c>
      <c r="B279" s="1" t="str">
        <f>"14:00"</f>
        <v>14:00</v>
      </c>
      <c r="C279" s="2"/>
      <c r="D279" s="2">
        <f>19</f>
        <v>19</v>
      </c>
      <c r="E279" s="2"/>
      <c r="F279" s="2">
        <f t="shared" si="36"/>
        <v>0</v>
      </c>
      <c r="G279" s="2"/>
      <c r="H279" s="2">
        <f>1019.3649</f>
        <v>1019.3649</v>
      </c>
      <c r="I279" s="2"/>
      <c r="J279" s="2">
        <f>681.80914</f>
        <v>681.80913999999996</v>
      </c>
      <c r="K279" s="2"/>
      <c r="L279" s="2">
        <f>21.551048</f>
        <v>21.551048000000002</v>
      </c>
      <c r="M279" s="2"/>
      <c r="N279" s="2">
        <f>71.89917</f>
        <v>71.899169999999998</v>
      </c>
      <c r="O279" s="2"/>
      <c r="P279" s="2">
        <f>4.8207207</f>
        <v>4.8207206999999999</v>
      </c>
      <c r="Q279" s="2"/>
      <c r="R279" s="2">
        <f>1.639286</f>
        <v>1.639286</v>
      </c>
    </row>
    <row r="280" spans="1:18" ht="17">
      <c r="A280" s="1" t="str">
        <f t="shared" si="39"/>
        <v>2020/05/16</v>
      </c>
      <c r="B280" s="1" t="str">
        <f>"15:00"</f>
        <v>15:00</v>
      </c>
      <c r="C280" s="2"/>
      <c r="D280" s="2">
        <f>169</f>
        <v>169</v>
      </c>
      <c r="E280" s="2"/>
      <c r="F280" s="2">
        <f t="shared" si="36"/>
        <v>0</v>
      </c>
      <c r="G280" s="2"/>
      <c r="H280" s="2">
        <f>1018.7156</f>
        <v>1018.7156</v>
      </c>
      <c r="I280" s="2"/>
      <c r="J280" s="2">
        <f>630.37415</f>
        <v>630.37414999999999</v>
      </c>
      <c r="K280" s="2"/>
      <c r="L280" s="2">
        <f>21.406818</f>
        <v>21.406818000000001</v>
      </c>
      <c r="M280" s="2"/>
      <c r="N280" s="2">
        <f>72.17917</f>
        <v>72.179169999999999</v>
      </c>
      <c r="O280" s="2"/>
      <c r="P280" s="2">
        <f>4.1564</f>
        <v>4.1563999999999997</v>
      </c>
      <c r="Q280" s="2"/>
      <c r="R280" s="2">
        <f>1.9105387</f>
        <v>1.9105387</v>
      </c>
    </row>
    <row r="281" spans="1:18" ht="17">
      <c r="A281" s="1" t="str">
        <f t="shared" si="39"/>
        <v>2020/05/16</v>
      </c>
      <c r="B281" s="1" t="str">
        <f>"16:00"</f>
        <v>16:00</v>
      </c>
      <c r="C281" s="2"/>
      <c r="D281" s="2">
        <f>18</f>
        <v>18</v>
      </c>
      <c r="E281" s="2"/>
      <c r="F281" s="2">
        <f t="shared" si="36"/>
        <v>0</v>
      </c>
      <c r="G281" s="2"/>
      <c r="H281" s="2">
        <f>1018.30035</f>
        <v>1018.30035</v>
      </c>
      <c r="I281" s="2"/>
      <c r="J281" s="2">
        <f>514.25</f>
        <v>514.25</v>
      </c>
      <c r="K281" s="2"/>
      <c r="L281" s="2">
        <f>21.903273</f>
        <v>21.903272999999999</v>
      </c>
      <c r="M281" s="2"/>
      <c r="N281" s="2">
        <f>73.2475</f>
        <v>73.247500000000002</v>
      </c>
      <c r="O281" s="2"/>
      <c r="P281" s="2">
        <f>2.9938056</f>
        <v>2.9938056</v>
      </c>
      <c r="Q281" s="2"/>
      <c r="R281" s="2">
        <f>1.2055901</f>
        <v>1.2055901</v>
      </c>
    </row>
    <row r="282" spans="1:18" ht="17">
      <c r="A282" s="1" t="str">
        <f t="shared" si="39"/>
        <v>2020/05/16</v>
      </c>
      <c r="B282" s="1" t="str">
        <f>"17:00"</f>
        <v>17:00</v>
      </c>
      <c r="C282" s="2"/>
      <c r="D282" s="2">
        <f>19</f>
        <v>19</v>
      </c>
      <c r="E282" s="2"/>
      <c r="F282" s="2">
        <f t="shared" si="36"/>
        <v>0</v>
      </c>
      <c r="G282" s="2"/>
      <c r="H282" s="2">
        <f>1017.8308</f>
        <v>1017.8308</v>
      </c>
      <c r="I282" s="2"/>
      <c r="J282" s="2">
        <f>406.245</f>
        <v>406.245</v>
      </c>
      <c r="K282" s="2"/>
      <c r="L282" s="2">
        <f>21.501808</f>
        <v>21.501808</v>
      </c>
      <c r="M282" s="2"/>
      <c r="N282" s="2">
        <f>77.236664</f>
        <v>77.236664000000005</v>
      </c>
      <c r="O282" s="2"/>
      <c r="P282" s="2">
        <f>2.0300603</f>
        <v>2.0300603000000002</v>
      </c>
      <c r="Q282" s="2"/>
      <c r="R282" s="2">
        <f>1.3209679</f>
        <v>1.3209679000000001</v>
      </c>
    </row>
    <row r="283" spans="1:18" ht="17">
      <c r="A283" s="1" t="str">
        <f t="shared" si="39"/>
        <v>2020/05/16</v>
      </c>
      <c r="B283" s="1" t="str">
        <f>"18:00"</f>
        <v>18:00</v>
      </c>
      <c r="C283" s="2"/>
      <c r="D283" s="2">
        <f>15</f>
        <v>15</v>
      </c>
      <c r="E283" s="2"/>
      <c r="F283" s="2">
        <f t="shared" si="36"/>
        <v>0</v>
      </c>
      <c r="G283" s="2"/>
      <c r="H283" s="2">
        <f>1017.22565</f>
        <v>1017.22565</v>
      </c>
      <c r="I283" s="2"/>
      <c r="J283" s="2">
        <f>259.34833</f>
        <v>259.34832999999998</v>
      </c>
      <c r="K283" s="2"/>
      <c r="L283" s="2">
        <f>20.872879</f>
        <v>20.872879000000001</v>
      </c>
      <c r="M283" s="2"/>
      <c r="N283" s="2">
        <f>81.11083</f>
        <v>81.110830000000007</v>
      </c>
      <c r="O283" s="2"/>
      <c r="P283" s="2">
        <f>1.1675937</f>
        <v>1.1675937000000001</v>
      </c>
      <c r="Q283" s="2"/>
      <c r="R283" s="2">
        <f>1.047393</f>
        <v>1.047393</v>
      </c>
    </row>
    <row r="284" spans="1:18" ht="17">
      <c r="A284" s="1" t="str">
        <f t="shared" si="39"/>
        <v>2020/05/16</v>
      </c>
      <c r="B284" s="1" t="str">
        <f>"19:00"</f>
        <v>19:00</v>
      </c>
      <c r="C284" s="2"/>
      <c r="D284" s="2">
        <f>169</f>
        <v>169</v>
      </c>
      <c r="E284" s="2"/>
      <c r="F284" s="2">
        <f t="shared" si="36"/>
        <v>0</v>
      </c>
      <c r="G284" s="2"/>
      <c r="H284" s="2">
        <f>1017.015</f>
        <v>1017.015</v>
      </c>
      <c r="I284" s="2"/>
      <c r="J284" s="2">
        <f>101.93166</f>
        <v>101.93165999999999</v>
      </c>
      <c r="K284" s="2"/>
      <c r="L284" s="2">
        <f>20.65464</f>
        <v>20.654640000000001</v>
      </c>
      <c r="M284" s="2"/>
      <c r="N284" s="2">
        <f>82.34333</f>
        <v>82.343329999999995</v>
      </c>
      <c r="O284" s="2"/>
      <c r="P284" s="2">
        <f>0.19041741</f>
        <v>0.19041741000000001</v>
      </c>
      <c r="Q284" s="2"/>
      <c r="R284" s="2">
        <f>1.2281123</f>
        <v>1.2281123</v>
      </c>
    </row>
    <row r="285" spans="1:18" ht="17">
      <c r="A285" s="1" t="str">
        <f t="shared" si="39"/>
        <v>2020/05/16</v>
      </c>
      <c r="B285" s="1" t="str">
        <f>"20:00"</f>
        <v>20:00</v>
      </c>
      <c r="C285" s="2"/>
      <c r="D285" s="2">
        <f>159</f>
        <v>159</v>
      </c>
      <c r="E285" s="2"/>
      <c r="F285" s="2">
        <f t="shared" si="36"/>
        <v>0</v>
      </c>
      <c r="G285" s="2"/>
      <c r="H285" s="2">
        <f>1016.9845</f>
        <v>1016.9845</v>
      </c>
      <c r="I285" s="2"/>
      <c r="J285" s="2">
        <f>28.980833</f>
        <v>28.980833000000001</v>
      </c>
      <c r="K285" s="2"/>
      <c r="L285" s="2">
        <f>20.679699</f>
        <v>20.679698999999999</v>
      </c>
      <c r="M285" s="2"/>
      <c r="N285" s="2">
        <f>80.42</f>
        <v>80.42</v>
      </c>
      <c r="O285" s="2"/>
      <c r="P285" s="2">
        <f t="shared" ref="P285:P296" si="40">0</f>
        <v>0</v>
      </c>
      <c r="Q285" s="2"/>
      <c r="R285" s="2">
        <f>1.0231986</f>
        <v>1.0231986</v>
      </c>
    </row>
    <row r="286" spans="1:18" ht="17">
      <c r="A286" s="1" t="str">
        <f t="shared" si="39"/>
        <v>2020/05/16</v>
      </c>
      <c r="B286" s="1" t="str">
        <f>"21:00"</f>
        <v>21:00</v>
      </c>
      <c r="C286" s="2"/>
      <c r="D286" s="2">
        <f>156</f>
        <v>156</v>
      </c>
      <c r="E286" s="2"/>
      <c r="F286" s="2">
        <f t="shared" si="36"/>
        <v>0</v>
      </c>
      <c r="G286" s="2"/>
      <c r="H286" s="2">
        <f>1016.86957</f>
        <v>1016.86957</v>
      </c>
      <c r="I286" s="2"/>
      <c r="J286" s="2">
        <f>0.0125</f>
        <v>1.2500000000000001E-2</v>
      </c>
      <c r="K286" s="2"/>
      <c r="L286" s="2">
        <f>20.18069</f>
        <v>20.180689999999998</v>
      </c>
      <c r="M286" s="2"/>
      <c r="N286" s="2">
        <f>81.4375</f>
        <v>81.4375</v>
      </c>
      <c r="O286" s="2"/>
      <c r="P286" s="2">
        <f t="shared" si="40"/>
        <v>0</v>
      </c>
      <c r="Q286" s="2"/>
      <c r="R286" s="2">
        <f>0.47710797</f>
        <v>0.47710796999999999</v>
      </c>
    </row>
    <row r="287" spans="1:18" ht="17">
      <c r="A287" s="1" t="str">
        <f t="shared" si="39"/>
        <v>2020/05/16</v>
      </c>
      <c r="B287" s="1" t="str">
        <f>"22:00"</f>
        <v>22:00</v>
      </c>
      <c r="C287" s="2"/>
      <c r="D287" s="2">
        <f>141</f>
        <v>141</v>
      </c>
      <c r="E287" s="2"/>
      <c r="F287" s="2">
        <f t="shared" si="36"/>
        <v>0</v>
      </c>
      <c r="G287" s="2"/>
      <c r="H287" s="2">
        <f>1016.67255</f>
        <v>1016.67255</v>
      </c>
      <c r="I287" s="2"/>
      <c r="J287" s="2">
        <f t="shared" ref="J287:J294" si="41">0</f>
        <v>0</v>
      </c>
      <c r="K287" s="2"/>
      <c r="L287" s="2">
        <f>20.571405</f>
        <v>20.571404999999999</v>
      </c>
      <c r="M287" s="2"/>
      <c r="N287" s="2">
        <f>76.04</f>
        <v>76.040000000000006</v>
      </c>
      <c r="O287" s="2"/>
      <c r="P287" s="2">
        <f t="shared" si="40"/>
        <v>0</v>
      </c>
      <c r="Q287" s="2"/>
      <c r="R287" s="2">
        <f>0.74478245</f>
        <v>0.74478244999999998</v>
      </c>
    </row>
    <row r="288" spans="1:18" ht="17">
      <c r="A288" s="1" t="str">
        <f t="shared" si="39"/>
        <v>2020/05/16</v>
      </c>
      <c r="B288" s="1" t="str">
        <f>"23:00"</f>
        <v>23:00</v>
      </c>
      <c r="C288" s="2"/>
      <c r="D288" s="2">
        <f>146</f>
        <v>146</v>
      </c>
      <c r="E288" s="2"/>
      <c r="F288" s="2">
        <f t="shared" si="36"/>
        <v>0</v>
      </c>
      <c r="G288" s="2"/>
      <c r="H288" s="2">
        <f>1016.5205</f>
        <v>1016.5205</v>
      </c>
      <c r="I288" s="2"/>
      <c r="J288" s="2">
        <f t="shared" si="41"/>
        <v>0</v>
      </c>
      <c r="K288" s="2"/>
      <c r="L288" s="2">
        <f>20.444715</f>
        <v>20.444714999999999</v>
      </c>
      <c r="M288" s="2"/>
      <c r="N288" s="2">
        <f>76.424164</f>
        <v>76.424164000000005</v>
      </c>
      <c r="O288" s="2"/>
      <c r="P288" s="2">
        <f t="shared" si="40"/>
        <v>0</v>
      </c>
      <c r="Q288" s="2"/>
      <c r="R288" s="2">
        <f>0.51544183</f>
        <v>0.51544182999999999</v>
      </c>
    </row>
    <row r="289" spans="1:18" ht="17">
      <c r="A289" s="1" t="str">
        <f t="shared" si="39"/>
        <v>2020/05/16</v>
      </c>
      <c r="B289" s="1" t="str">
        <f>"24:00"</f>
        <v>24:00</v>
      </c>
      <c r="C289" s="2"/>
      <c r="D289" s="2">
        <f>359</f>
        <v>359</v>
      </c>
      <c r="E289" s="2"/>
      <c r="F289" s="2">
        <f t="shared" si="36"/>
        <v>0</v>
      </c>
      <c r="G289" s="2"/>
      <c r="H289" s="2">
        <f>1016.5207</f>
        <v>1016.5207</v>
      </c>
      <c r="I289" s="2"/>
      <c r="J289" s="2">
        <f t="shared" si="41"/>
        <v>0</v>
      </c>
      <c r="K289" s="2"/>
      <c r="L289" s="2">
        <f>18.975386</f>
        <v>18.975386</v>
      </c>
      <c r="M289" s="2"/>
      <c r="N289" s="2">
        <f>81.1325</f>
        <v>81.132499999999993</v>
      </c>
      <c r="O289" s="2"/>
      <c r="P289" s="2">
        <f t="shared" si="40"/>
        <v>0</v>
      </c>
      <c r="Q289" s="2"/>
      <c r="R289" s="2">
        <f>1.0753856</f>
        <v>1.0753855999999999</v>
      </c>
    </row>
    <row r="290" spans="1:18" ht="17">
      <c r="A290" s="1" t="str">
        <f t="shared" ref="A290:A313" si="42">"2020/05/17"</f>
        <v>2020/05/17</v>
      </c>
      <c r="B290" s="1" t="str">
        <f>"01:00"</f>
        <v>01:00</v>
      </c>
      <c r="C290" s="2">
        <f>229.29167</f>
        <v>229.29167000000001</v>
      </c>
      <c r="D290" s="2">
        <f>345</f>
        <v>345</v>
      </c>
      <c r="E290" s="2">
        <f>0</f>
        <v>0</v>
      </c>
      <c r="F290" s="2">
        <f t="shared" si="36"/>
        <v>0</v>
      </c>
      <c r="G290" s="2">
        <f>1017.7125</f>
        <v>1017.7125</v>
      </c>
      <c r="H290" s="2">
        <f>1016.74146</f>
        <v>1016.74146</v>
      </c>
      <c r="I290" s="2">
        <f>138.51613</f>
        <v>138.51613</v>
      </c>
      <c r="J290" s="2">
        <f t="shared" si="41"/>
        <v>0</v>
      </c>
      <c r="K290" s="2">
        <f>19.909754</f>
        <v>19.909754</v>
      </c>
      <c r="L290" s="2">
        <f>18.83282</f>
        <v>18.832820000000002</v>
      </c>
      <c r="M290" s="2">
        <f>79.839905</f>
        <v>79.839905000000002</v>
      </c>
      <c r="N290" s="2">
        <f>84.65583</f>
        <v>84.655829999999995</v>
      </c>
      <c r="O290" s="2">
        <f>0.76102126</f>
        <v>0.76102126000000003</v>
      </c>
      <c r="P290" s="2">
        <f t="shared" si="40"/>
        <v>0</v>
      </c>
      <c r="Q290" s="2">
        <f>1.5863264</f>
        <v>1.5863263999999999</v>
      </c>
      <c r="R290" s="2">
        <f>1.4732136</f>
        <v>1.4732136</v>
      </c>
    </row>
    <row r="291" spans="1:18" ht="17">
      <c r="A291" s="1" t="str">
        <f t="shared" si="42"/>
        <v>2020/05/17</v>
      </c>
      <c r="B291" s="1" t="str">
        <f>"02:00"</f>
        <v>02:00</v>
      </c>
      <c r="C291" s="2"/>
      <c r="D291" s="2">
        <f>347</f>
        <v>347</v>
      </c>
      <c r="E291" s="2"/>
      <c r="F291" s="2">
        <f t="shared" si="36"/>
        <v>0</v>
      </c>
      <c r="G291" s="2"/>
      <c r="H291" s="2">
        <f>1016.81384</f>
        <v>1016.81384</v>
      </c>
      <c r="I291" s="2"/>
      <c r="J291" s="2">
        <f t="shared" si="41"/>
        <v>0</v>
      </c>
      <c r="K291" s="2"/>
      <c r="L291" s="2">
        <f>18.474735</f>
        <v>18.474734999999999</v>
      </c>
      <c r="M291" s="2"/>
      <c r="N291" s="2">
        <f>85.25833</f>
        <v>85.258330000000001</v>
      </c>
      <c r="O291" s="2"/>
      <c r="P291" s="2">
        <f t="shared" si="40"/>
        <v>0</v>
      </c>
      <c r="Q291" s="2"/>
      <c r="R291" s="2">
        <f>1.6914376</f>
        <v>1.6914376</v>
      </c>
    </row>
    <row r="292" spans="1:18" ht="17">
      <c r="A292" s="1" t="str">
        <f t="shared" si="42"/>
        <v>2020/05/17</v>
      </c>
      <c r="B292" s="1" t="str">
        <f>"03:00"</f>
        <v>03:00</v>
      </c>
      <c r="C292" s="2"/>
      <c r="D292" s="2">
        <f>347</f>
        <v>347</v>
      </c>
      <c r="E292" s="2"/>
      <c r="F292" s="2">
        <f t="shared" si="36"/>
        <v>0</v>
      </c>
      <c r="G292" s="2"/>
      <c r="H292" s="2">
        <f>1016.9452</f>
        <v>1016.9452</v>
      </c>
      <c r="I292" s="2"/>
      <c r="J292" s="2">
        <f t="shared" si="41"/>
        <v>0</v>
      </c>
      <c r="K292" s="2"/>
      <c r="L292" s="2">
        <f>18.137611</f>
        <v>18.137611</v>
      </c>
      <c r="M292" s="2"/>
      <c r="N292" s="2">
        <f>84.99167</f>
        <v>84.991669999999999</v>
      </c>
      <c r="O292" s="2"/>
      <c r="P292" s="2">
        <f t="shared" si="40"/>
        <v>0</v>
      </c>
      <c r="Q292" s="2"/>
      <c r="R292" s="2">
        <f>2.2033677</f>
        <v>2.2033676999999998</v>
      </c>
    </row>
    <row r="293" spans="1:18" ht="17">
      <c r="A293" s="1" t="str">
        <f t="shared" si="42"/>
        <v>2020/05/17</v>
      </c>
      <c r="B293" s="1" t="str">
        <f>"04:00"</f>
        <v>04:00</v>
      </c>
      <c r="C293" s="2"/>
      <c r="D293" s="2">
        <f>347</f>
        <v>347</v>
      </c>
      <c r="E293" s="2"/>
      <c r="F293" s="2">
        <f t="shared" si="36"/>
        <v>0</v>
      </c>
      <c r="G293" s="2"/>
      <c r="H293" s="2">
        <f>1017.05334</f>
        <v>1017.05334</v>
      </c>
      <c r="I293" s="2"/>
      <c r="J293" s="2">
        <f t="shared" si="41"/>
        <v>0</v>
      </c>
      <c r="K293" s="2"/>
      <c r="L293" s="2">
        <f>18.269833</f>
        <v>18.269832999999998</v>
      </c>
      <c r="M293" s="2"/>
      <c r="N293" s="2">
        <f>78.7675</f>
        <v>78.767499999999998</v>
      </c>
      <c r="O293" s="2"/>
      <c r="P293" s="2">
        <f t="shared" si="40"/>
        <v>0</v>
      </c>
      <c r="Q293" s="2"/>
      <c r="R293" s="2">
        <f>1.5505949</f>
        <v>1.5505949000000001</v>
      </c>
    </row>
    <row r="294" spans="1:18" ht="17">
      <c r="A294" s="1" t="str">
        <f t="shared" si="42"/>
        <v>2020/05/17</v>
      </c>
      <c r="B294" s="1" t="str">
        <f>"05:00"</f>
        <v>05:00</v>
      </c>
      <c r="C294" s="2"/>
      <c r="D294" s="2">
        <f>347</f>
        <v>347</v>
      </c>
      <c r="E294" s="2"/>
      <c r="F294" s="2">
        <f t="shared" si="36"/>
        <v>0</v>
      </c>
      <c r="G294" s="2"/>
      <c r="H294" s="2">
        <f>1017.15063</f>
        <v>1017.15063</v>
      </c>
      <c r="I294" s="2"/>
      <c r="J294" s="2">
        <f t="shared" si="41"/>
        <v>0</v>
      </c>
      <c r="K294" s="2"/>
      <c r="L294" s="2">
        <f>18.239117</f>
        <v>18.239117</v>
      </c>
      <c r="M294" s="2"/>
      <c r="N294" s="2">
        <f>75.75584</f>
        <v>75.755840000000006</v>
      </c>
      <c r="O294" s="2"/>
      <c r="P294" s="2">
        <f t="shared" si="40"/>
        <v>0</v>
      </c>
      <c r="Q294" s="2"/>
      <c r="R294" s="2">
        <f>1.3373654</f>
        <v>1.3373653999999999</v>
      </c>
    </row>
    <row r="295" spans="1:18" ht="17">
      <c r="A295" s="1" t="str">
        <f t="shared" si="42"/>
        <v>2020/05/17</v>
      </c>
      <c r="B295" s="1" t="str">
        <f>"06:00"</f>
        <v>06:00</v>
      </c>
      <c r="C295" s="2"/>
      <c r="D295" s="2">
        <f>346</f>
        <v>346</v>
      </c>
      <c r="E295" s="2"/>
      <c r="F295" s="2">
        <f t="shared" si="36"/>
        <v>0</v>
      </c>
      <c r="G295" s="2"/>
      <c r="H295" s="2">
        <f>1017.23694</f>
        <v>1017.23694</v>
      </c>
      <c r="I295" s="2"/>
      <c r="J295" s="2">
        <f>0.7575</f>
        <v>0.75749999999999995</v>
      </c>
      <c r="K295" s="2"/>
      <c r="L295" s="2">
        <f>18.177172</f>
        <v>18.177171999999999</v>
      </c>
      <c r="M295" s="2"/>
      <c r="N295" s="2">
        <f>74.845</f>
        <v>74.844999999999999</v>
      </c>
      <c r="O295" s="2"/>
      <c r="P295" s="2">
        <f t="shared" si="40"/>
        <v>0</v>
      </c>
      <c r="Q295" s="2"/>
      <c r="R295" s="2">
        <f>1.1826915</f>
        <v>1.1826915</v>
      </c>
    </row>
    <row r="296" spans="1:18" ht="17">
      <c r="A296" s="1" t="str">
        <f t="shared" si="42"/>
        <v>2020/05/17</v>
      </c>
      <c r="B296" s="1" t="str">
        <f>"07:00"</f>
        <v>07:00</v>
      </c>
      <c r="C296" s="2"/>
      <c r="D296" s="2">
        <f>293</f>
        <v>293</v>
      </c>
      <c r="E296" s="2"/>
      <c r="F296" s="2">
        <f t="shared" si="36"/>
        <v>0</v>
      </c>
      <c r="G296" s="2"/>
      <c r="H296" s="2">
        <f>1017.4351</f>
        <v>1017.4351</v>
      </c>
      <c r="I296" s="2"/>
      <c r="J296" s="2">
        <f>27.696667</f>
        <v>27.696667000000001</v>
      </c>
      <c r="K296" s="2"/>
      <c r="L296" s="2">
        <f>18.298555</f>
        <v>18.298555</v>
      </c>
      <c r="M296" s="2"/>
      <c r="N296" s="2">
        <f>75.575</f>
        <v>75.575000000000003</v>
      </c>
      <c r="O296" s="2"/>
      <c r="P296" s="2">
        <f t="shared" si="40"/>
        <v>0</v>
      </c>
      <c r="Q296" s="2"/>
      <c r="R296" s="2">
        <f>0.93870974</f>
        <v>0.93870973999999996</v>
      </c>
    </row>
    <row r="297" spans="1:18" ht="17">
      <c r="A297" s="1" t="str">
        <f t="shared" si="42"/>
        <v>2020/05/17</v>
      </c>
      <c r="B297" s="1" t="str">
        <f>"08:00"</f>
        <v>08:00</v>
      </c>
      <c r="C297" s="2"/>
      <c r="D297" s="2">
        <f>284</f>
        <v>284</v>
      </c>
      <c r="E297" s="2"/>
      <c r="F297" s="2">
        <f t="shared" si="36"/>
        <v>0</v>
      </c>
      <c r="G297" s="2"/>
      <c r="H297" s="2">
        <f>1017.518</f>
        <v>1017.518</v>
      </c>
      <c r="I297" s="2"/>
      <c r="J297" s="2">
        <f>81.9925</f>
        <v>81.992500000000007</v>
      </c>
      <c r="K297" s="2"/>
      <c r="L297" s="2">
        <f>19.188913</f>
        <v>19.188912999999999</v>
      </c>
      <c r="M297" s="2"/>
      <c r="N297" s="2">
        <f>72.284164</f>
        <v>72.284164000000004</v>
      </c>
      <c r="O297" s="2"/>
      <c r="P297" s="2">
        <f>0.16791667</f>
        <v>0.16791666999999999</v>
      </c>
      <c r="Q297" s="2"/>
      <c r="R297" s="2">
        <f>0.674439</f>
        <v>0.67443900000000001</v>
      </c>
    </row>
    <row r="298" spans="1:18" ht="17">
      <c r="A298" s="1" t="str">
        <f t="shared" si="42"/>
        <v>2020/05/17</v>
      </c>
      <c r="B298" s="1" t="str">
        <f>"09:00"</f>
        <v>09:00</v>
      </c>
      <c r="C298" s="2"/>
      <c r="D298" s="2">
        <f>163</f>
        <v>163</v>
      </c>
      <c r="E298" s="2"/>
      <c r="F298" s="2">
        <f t="shared" si="36"/>
        <v>0</v>
      </c>
      <c r="G298" s="2"/>
      <c r="H298" s="2">
        <f>1017.4092</f>
        <v>1017.4092000000001</v>
      </c>
      <c r="I298" s="2"/>
      <c r="J298" s="2">
        <f>136.92833</f>
        <v>136.92832999999999</v>
      </c>
      <c r="K298" s="2"/>
      <c r="L298" s="2">
        <f>20.438276</f>
        <v>20.438275999999998</v>
      </c>
      <c r="M298" s="2"/>
      <c r="N298" s="2">
        <f>68.950836</f>
        <v>68.950835999999995</v>
      </c>
      <c r="O298" s="2"/>
      <c r="P298" s="2">
        <f>0.69141</f>
        <v>0.69140999999999997</v>
      </c>
      <c r="Q298" s="2"/>
      <c r="R298" s="2">
        <f>0.7323056</f>
        <v>0.7323056</v>
      </c>
    </row>
    <row r="299" spans="1:18" ht="17">
      <c r="A299" s="1" t="str">
        <f t="shared" si="42"/>
        <v>2020/05/17</v>
      </c>
      <c r="B299" s="1" t="str">
        <f>"10:00"</f>
        <v>10:00</v>
      </c>
      <c r="C299" s="2"/>
      <c r="D299" s="2">
        <f>160</f>
        <v>160</v>
      </c>
      <c r="E299" s="2"/>
      <c r="F299" s="2">
        <f t="shared" si="36"/>
        <v>0</v>
      </c>
      <c r="G299" s="2"/>
      <c r="H299" s="2">
        <f>1017.51733</f>
        <v>1017.51733</v>
      </c>
      <c r="I299" s="2"/>
      <c r="J299" s="2">
        <f>156.09917</f>
        <v>156.09916999999999</v>
      </c>
      <c r="K299" s="2"/>
      <c r="L299" s="2">
        <f>21.120762</f>
        <v>21.120761999999999</v>
      </c>
      <c r="M299" s="2"/>
      <c r="N299" s="2">
        <f>72.254166</f>
        <v>72.254165999999998</v>
      </c>
      <c r="O299" s="2"/>
      <c r="P299" s="2">
        <f>0.8398303</f>
        <v>0.83983030000000003</v>
      </c>
      <c r="Q299" s="2"/>
      <c r="R299" s="2">
        <f>1.5901645</f>
        <v>1.5901645</v>
      </c>
    </row>
    <row r="300" spans="1:18" ht="17">
      <c r="A300" s="1" t="str">
        <f t="shared" si="42"/>
        <v>2020/05/17</v>
      </c>
      <c r="B300" s="1" t="str">
        <f>"11:00"</f>
        <v>11:00</v>
      </c>
      <c r="C300" s="2"/>
      <c r="D300" s="2">
        <f>154</f>
        <v>154</v>
      </c>
      <c r="E300" s="2"/>
      <c r="F300" s="2">
        <f t="shared" si="36"/>
        <v>0</v>
      </c>
      <c r="G300" s="2"/>
      <c r="H300" s="2">
        <f>1017.65594</f>
        <v>1017.65594</v>
      </c>
      <c r="I300" s="2"/>
      <c r="J300" s="2">
        <f>206.25583</f>
        <v>206.25583</v>
      </c>
      <c r="K300" s="2"/>
      <c r="L300" s="2">
        <f>20.475998</f>
        <v>20.475998000000001</v>
      </c>
      <c r="M300" s="2"/>
      <c r="N300" s="2">
        <f>80.611664</f>
        <v>80.611664000000005</v>
      </c>
      <c r="O300" s="2"/>
      <c r="P300" s="2">
        <f>1.2159961</f>
        <v>1.2159960999999999</v>
      </c>
      <c r="Q300" s="2"/>
      <c r="R300" s="2">
        <f>1.2266272</f>
        <v>1.2266272</v>
      </c>
    </row>
    <row r="301" spans="1:18" ht="17">
      <c r="A301" s="1" t="str">
        <f t="shared" si="42"/>
        <v>2020/05/17</v>
      </c>
      <c r="B301" s="1" t="str">
        <f>"12:00"</f>
        <v>12:00</v>
      </c>
      <c r="C301" s="2"/>
      <c r="D301" s="2">
        <f>172</f>
        <v>172</v>
      </c>
      <c r="E301" s="2"/>
      <c r="F301" s="2">
        <f t="shared" si="36"/>
        <v>0</v>
      </c>
      <c r="G301" s="2"/>
      <c r="H301" s="2">
        <f>1017.8463</f>
        <v>1017.8463</v>
      </c>
      <c r="I301" s="2"/>
      <c r="J301" s="2">
        <f>434.2425</f>
        <v>434.24250000000001</v>
      </c>
      <c r="K301" s="2"/>
      <c r="L301" s="2">
        <f>20.99563</f>
        <v>20.995629999999998</v>
      </c>
      <c r="M301" s="2"/>
      <c r="N301" s="2">
        <f>79.195</f>
        <v>79.194999999999993</v>
      </c>
      <c r="O301" s="2"/>
      <c r="P301" s="2">
        <f>2.691068</f>
        <v>2.691068</v>
      </c>
      <c r="Q301" s="2"/>
      <c r="R301" s="2">
        <f>1.5984004</f>
        <v>1.5984004000000001</v>
      </c>
    </row>
    <row r="302" spans="1:18" ht="17">
      <c r="A302" s="1" t="str">
        <f t="shared" si="42"/>
        <v>2020/05/17</v>
      </c>
      <c r="B302" s="1" t="str">
        <f>"13:00"</f>
        <v>13:00</v>
      </c>
      <c r="C302" s="2"/>
      <c r="D302" s="2">
        <f>168</f>
        <v>168</v>
      </c>
      <c r="E302" s="2"/>
      <c r="F302" s="2">
        <f t="shared" si="36"/>
        <v>0</v>
      </c>
      <c r="G302" s="2"/>
      <c r="H302" s="2">
        <f>1017.7412</f>
        <v>1017.7412</v>
      </c>
      <c r="I302" s="2"/>
      <c r="J302" s="2">
        <f>454.0455</f>
        <v>454.0455</v>
      </c>
      <c r="K302" s="2"/>
      <c r="L302" s="2">
        <f>21.562548</f>
        <v>21.562548</v>
      </c>
      <c r="M302" s="2"/>
      <c r="N302" s="2">
        <f>76.02636</f>
        <v>76.026359999999997</v>
      </c>
      <c r="O302" s="2"/>
      <c r="P302" s="2">
        <f>2.9719381</f>
        <v>2.9719381</v>
      </c>
      <c r="Q302" s="2"/>
      <c r="R302" s="2">
        <f>1.6601259</f>
        <v>1.6601258999999999</v>
      </c>
    </row>
    <row r="303" spans="1:18" ht="17">
      <c r="A303" s="1" t="str">
        <f t="shared" si="42"/>
        <v>2020/05/17</v>
      </c>
      <c r="B303" s="1" t="str">
        <f>"14:00"</f>
        <v>14:00</v>
      </c>
      <c r="C303" s="2"/>
      <c r="D303" s="2">
        <f>170</f>
        <v>170</v>
      </c>
      <c r="E303" s="2"/>
      <c r="F303" s="2">
        <f t="shared" si="36"/>
        <v>0</v>
      </c>
      <c r="G303" s="2"/>
      <c r="H303" s="2">
        <f>1017.6896</f>
        <v>1017.6896</v>
      </c>
      <c r="I303" s="2"/>
      <c r="J303" s="2">
        <f>398.17166</f>
        <v>398.17165999999997</v>
      </c>
      <c r="K303" s="2"/>
      <c r="L303" s="2">
        <f>21.229204</f>
        <v>21.229203999999999</v>
      </c>
      <c r="M303" s="2"/>
      <c r="N303" s="2">
        <f>80.06111</f>
        <v>80.061109999999999</v>
      </c>
      <c r="O303" s="2"/>
      <c r="P303" s="2">
        <f>2.608635</f>
        <v>2.608635</v>
      </c>
      <c r="Q303" s="2"/>
      <c r="R303" s="2">
        <f>1.2542553</f>
        <v>1.2542553000000001</v>
      </c>
    </row>
    <row r="304" spans="1:18" ht="17">
      <c r="A304" s="1" t="str">
        <f t="shared" si="42"/>
        <v>2020/05/17</v>
      </c>
      <c r="B304" s="1" t="str">
        <f>"15:00"</f>
        <v>15:00</v>
      </c>
      <c r="C304" s="2"/>
      <c r="D304" s="2">
        <f>165</f>
        <v>165</v>
      </c>
      <c r="E304" s="2"/>
      <c r="F304" s="2">
        <f t="shared" si="36"/>
        <v>0</v>
      </c>
      <c r="G304" s="2"/>
      <c r="H304" s="2">
        <f>1018.01404</f>
        <v>1018.01404</v>
      </c>
      <c r="I304" s="2"/>
      <c r="J304" s="2">
        <f>315.21304</f>
        <v>315.21303999999998</v>
      </c>
      <c r="K304" s="2"/>
      <c r="L304" s="2">
        <f>20.993778</f>
        <v>20.993777999999999</v>
      </c>
      <c r="M304" s="2"/>
      <c r="N304" s="2">
        <f>80.67834</f>
        <v>80.678340000000006</v>
      </c>
      <c r="O304" s="2"/>
      <c r="P304" s="2">
        <f>2.0017934</f>
        <v>2.0017933999999999</v>
      </c>
      <c r="Q304" s="2"/>
      <c r="R304" s="2">
        <f>1.3631966</f>
        <v>1.3631966</v>
      </c>
    </row>
    <row r="305" spans="1:18" ht="17">
      <c r="A305" s="1" t="str">
        <f t="shared" si="42"/>
        <v>2020/05/17</v>
      </c>
      <c r="B305" s="1" t="str">
        <f>"16:00"</f>
        <v>16:00</v>
      </c>
      <c r="C305" s="2"/>
      <c r="D305" s="2">
        <f>160</f>
        <v>160</v>
      </c>
      <c r="E305" s="2"/>
      <c r="F305" s="2">
        <f t="shared" si="36"/>
        <v>0</v>
      </c>
      <c r="G305" s="2"/>
      <c r="H305" s="2">
        <f>1017.4493</f>
        <v>1017.4493</v>
      </c>
      <c r="I305" s="2"/>
      <c r="J305" s="2">
        <f>451.78445</f>
        <v>451.78444999999999</v>
      </c>
      <c r="K305" s="2"/>
      <c r="L305" s="2">
        <f>20.779772</f>
        <v>20.779772000000001</v>
      </c>
      <c r="M305" s="2"/>
      <c r="N305" s="2">
        <f>81.126114</f>
        <v>81.126114000000001</v>
      </c>
      <c r="O305" s="2"/>
      <c r="P305" s="2">
        <f>2.4819076</f>
        <v>2.4819076</v>
      </c>
      <c r="Q305" s="2"/>
      <c r="R305" s="2">
        <f>2.3105488</f>
        <v>2.3105487999999998</v>
      </c>
    </row>
    <row r="306" spans="1:18" ht="17">
      <c r="A306" s="1" t="str">
        <f t="shared" si="42"/>
        <v>2020/05/17</v>
      </c>
      <c r="B306" s="1" t="str">
        <f>"17:00"</f>
        <v>17:00</v>
      </c>
      <c r="C306" s="2"/>
      <c r="D306" s="2">
        <f>160</f>
        <v>160</v>
      </c>
      <c r="E306" s="2"/>
      <c r="F306" s="2">
        <f t="shared" si="36"/>
        <v>0</v>
      </c>
      <c r="G306" s="2"/>
      <c r="H306" s="2">
        <f>1017.16077</f>
        <v>1017.16077</v>
      </c>
      <c r="I306" s="2"/>
      <c r="J306" s="2">
        <f>281.64166</f>
        <v>281.64166</v>
      </c>
      <c r="K306" s="2"/>
      <c r="L306" s="2">
        <f>20.917387</f>
        <v>20.917387000000002</v>
      </c>
      <c r="M306" s="2"/>
      <c r="N306" s="2">
        <f>79.42306</f>
        <v>79.423060000000007</v>
      </c>
      <c r="O306" s="2"/>
      <c r="P306" s="2">
        <f>1.418331</f>
        <v>1.418331</v>
      </c>
      <c r="Q306" s="2"/>
      <c r="R306" s="2">
        <f>2.2916853</f>
        <v>2.2916853000000001</v>
      </c>
    </row>
    <row r="307" spans="1:18" ht="17">
      <c r="A307" s="1" t="str">
        <f t="shared" si="42"/>
        <v>2020/05/17</v>
      </c>
      <c r="B307" s="1" t="str">
        <f>"18:00"</f>
        <v>18:00</v>
      </c>
      <c r="C307" s="2"/>
      <c r="D307" s="2">
        <f>163</f>
        <v>163</v>
      </c>
      <c r="E307" s="2"/>
      <c r="F307" s="2">
        <f t="shared" si="36"/>
        <v>0</v>
      </c>
      <c r="G307" s="2"/>
      <c r="H307" s="2">
        <f>1017.2259</f>
        <v>1017.2259</v>
      </c>
      <c r="I307" s="2"/>
      <c r="J307" s="2">
        <f>216.39555</f>
        <v>216.39554999999999</v>
      </c>
      <c r="K307" s="2"/>
      <c r="L307" s="2">
        <f>20.818678</f>
        <v>20.818677999999998</v>
      </c>
      <c r="M307" s="2"/>
      <c r="N307" s="2">
        <f>81.1925</f>
        <v>81.192499999999995</v>
      </c>
      <c r="O307" s="2"/>
      <c r="P307" s="2">
        <f>0.92587984</f>
        <v>0.92587984000000001</v>
      </c>
      <c r="Q307" s="2"/>
      <c r="R307" s="2">
        <f>2.7009299</f>
        <v>2.7009299000000002</v>
      </c>
    </row>
    <row r="308" spans="1:18" ht="17">
      <c r="A308" s="1" t="str">
        <f t="shared" si="42"/>
        <v>2020/05/17</v>
      </c>
      <c r="B308" s="1" t="str">
        <f>"19:00"</f>
        <v>19:00</v>
      </c>
      <c r="C308" s="2"/>
      <c r="D308" s="2">
        <f>164</f>
        <v>164</v>
      </c>
      <c r="E308" s="2"/>
      <c r="F308" s="2">
        <f t="shared" si="36"/>
        <v>0</v>
      </c>
      <c r="G308" s="2"/>
      <c r="H308" s="2">
        <f>1017.445</f>
        <v>1017.4450000000001</v>
      </c>
      <c r="I308" s="2"/>
      <c r="J308" s="2">
        <f>138.21916</f>
        <v>138.21915999999999</v>
      </c>
      <c r="K308" s="2"/>
      <c r="L308" s="2">
        <f>20.70626</f>
        <v>20.70626</v>
      </c>
      <c r="M308" s="2"/>
      <c r="N308" s="2">
        <f>82.73889</f>
        <v>82.738889999999998</v>
      </c>
      <c r="O308" s="2"/>
      <c r="P308" s="2">
        <f>0.24980399</f>
        <v>0.24980399</v>
      </c>
      <c r="Q308" s="2"/>
      <c r="R308" s="2">
        <f>2.3061388</f>
        <v>2.3061387999999998</v>
      </c>
    </row>
    <row r="309" spans="1:18" ht="17">
      <c r="A309" s="1" t="str">
        <f t="shared" si="42"/>
        <v>2020/05/17</v>
      </c>
      <c r="B309" s="1" t="str">
        <f>"20:00"</f>
        <v>20:00</v>
      </c>
      <c r="C309" s="2"/>
      <c r="D309" s="2">
        <f>4</f>
        <v>4</v>
      </c>
      <c r="E309" s="2"/>
      <c r="F309" s="2">
        <f t="shared" si="36"/>
        <v>0</v>
      </c>
      <c r="G309" s="2"/>
      <c r="H309" s="2">
        <f>1018.2908</f>
        <v>1018.2908</v>
      </c>
      <c r="I309" s="2"/>
      <c r="J309" s="2">
        <f>24.928333</f>
        <v>24.928332999999999</v>
      </c>
      <c r="K309" s="2"/>
      <c r="L309" s="2">
        <f>20.374146</f>
        <v>20.374146</v>
      </c>
      <c r="M309" s="2"/>
      <c r="N309" s="2">
        <f>84.7075</f>
        <v>84.707499999999996</v>
      </c>
      <c r="O309" s="2"/>
      <c r="P309" s="2">
        <f>0</f>
        <v>0</v>
      </c>
      <c r="Q309" s="2"/>
      <c r="R309" s="2">
        <f>1.9174402</f>
        <v>1.9174401999999999</v>
      </c>
    </row>
    <row r="310" spans="1:18" ht="17">
      <c r="A310" s="1" t="str">
        <f t="shared" si="42"/>
        <v>2020/05/17</v>
      </c>
      <c r="B310" s="1" t="str">
        <f>"21:00"</f>
        <v>21:00</v>
      </c>
      <c r="C310" s="2"/>
      <c r="D310" s="2">
        <f>358</f>
        <v>358</v>
      </c>
      <c r="E310" s="2"/>
      <c r="F310" s="2">
        <f t="shared" si="36"/>
        <v>0</v>
      </c>
      <c r="G310" s="2"/>
      <c r="H310" s="2">
        <f>1019.13367</f>
        <v>1019.1336700000001</v>
      </c>
      <c r="I310" s="2"/>
      <c r="J310" s="2">
        <f>0.015277778</f>
        <v>1.5277778000000001E-2</v>
      </c>
      <c r="K310" s="2"/>
      <c r="L310" s="2">
        <f>19.823092</f>
        <v>19.823091999999999</v>
      </c>
      <c r="M310" s="2"/>
      <c r="N310" s="2">
        <f>87.64972</f>
        <v>87.649720000000002</v>
      </c>
      <c r="O310" s="2"/>
      <c r="P310" s="2">
        <f>0</f>
        <v>0</v>
      </c>
      <c r="Q310" s="2"/>
      <c r="R310" s="2">
        <f>3.1524932</f>
        <v>3.1524931999999999</v>
      </c>
    </row>
    <row r="311" spans="1:18" ht="17">
      <c r="A311" s="1" t="str">
        <f t="shared" si="42"/>
        <v>2020/05/17</v>
      </c>
      <c r="B311" s="1" t="str">
        <f>"22:00"</f>
        <v>22:00</v>
      </c>
      <c r="C311" s="2"/>
      <c r="D311" s="2">
        <f>356</f>
        <v>356</v>
      </c>
      <c r="E311" s="2"/>
      <c r="F311" s="2">
        <f t="shared" si="36"/>
        <v>0</v>
      </c>
      <c r="G311" s="2"/>
      <c r="H311" s="2">
        <f>1019.22095</f>
        <v>1019.22095</v>
      </c>
      <c r="I311" s="2"/>
      <c r="J311" s="2">
        <f t="shared" ref="J311:J318" si="43">0</f>
        <v>0</v>
      </c>
      <c r="K311" s="2"/>
      <c r="L311" s="2">
        <f>19.985205</f>
        <v>19.985205000000001</v>
      </c>
      <c r="M311" s="2"/>
      <c r="N311" s="2">
        <f>84.0775</f>
        <v>84.077500000000001</v>
      </c>
      <c r="O311" s="2"/>
      <c r="P311" s="2">
        <f>0</f>
        <v>0</v>
      </c>
      <c r="Q311" s="2"/>
      <c r="R311" s="2">
        <f>0.6128226</f>
        <v>0.6128226</v>
      </c>
    </row>
    <row r="312" spans="1:18" ht="17">
      <c r="A312" s="1" t="str">
        <f t="shared" si="42"/>
        <v>2020/05/17</v>
      </c>
      <c r="B312" s="1" t="str">
        <f>"23:00"</f>
        <v>23:00</v>
      </c>
      <c r="C312" s="2"/>
      <c r="D312" s="2">
        <f>170</f>
        <v>170</v>
      </c>
      <c r="E312" s="2"/>
      <c r="F312" s="2">
        <f t="shared" si="36"/>
        <v>0</v>
      </c>
      <c r="G312" s="2"/>
      <c r="H312" s="2">
        <f>1019.0961</f>
        <v>1019.0961</v>
      </c>
      <c r="I312" s="2"/>
      <c r="J312" s="2">
        <f t="shared" si="43"/>
        <v>0</v>
      </c>
      <c r="K312" s="2"/>
      <c r="L312" s="2">
        <f>20.094576</f>
        <v>20.094576</v>
      </c>
      <c r="M312" s="2"/>
      <c r="N312" s="2">
        <f>82.57472</f>
        <v>82.574719999999999</v>
      </c>
      <c r="O312" s="2"/>
      <c r="P312" s="2">
        <f>0</f>
        <v>0</v>
      </c>
      <c r="Q312" s="2"/>
      <c r="R312" s="2">
        <f>0.90587705</f>
        <v>0.90587704999999996</v>
      </c>
    </row>
    <row r="313" spans="1:18" ht="17">
      <c r="A313" s="1" t="str">
        <f t="shared" si="42"/>
        <v>2020/05/17</v>
      </c>
      <c r="B313" s="1" t="str">
        <f>"24:00"</f>
        <v>24:00</v>
      </c>
      <c r="C313" s="2"/>
      <c r="D313" s="2">
        <f>160</f>
        <v>160</v>
      </c>
      <c r="E313" s="2"/>
      <c r="F313" s="2">
        <f t="shared" si="36"/>
        <v>0</v>
      </c>
      <c r="G313" s="2"/>
      <c r="H313" s="2">
        <f>1019.3094</f>
        <v>1019.3094</v>
      </c>
      <c r="I313" s="2"/>
      <c r="J313" s="2">
        <f t="shared" si="43"/>
        <v>0</v>
      </c>
      <c r="K313" s="2"/>
      <c r="L313" s="2">
        <f>19.900013</f>
        <v>19.900013000000001</v>
      </c>
      <c r="M313" s="2"/>
      <c r="N313" s="2">
        <f>82.75694</f>
        <v>82.75694</v>
      </c>
      <c r="O313" s="2"/>
      <c r="P313" s="2">
        <f>0</f>
        <v>0</v>
      </c>
      <c r="Q313" s="2"/>
      <c r="R313" s="2">
        <f>1.3970034</f>
        <v>1.3970034</v>
      </c>
    </row>
    <row r="314" spans="1:18" ht="17">
      <c r="A314" s="1" t="str">
        <f t="shared" ref="A314:A337" si="44">"2020/05/18"</f>
        <v>2020/05/18</v>
      </c>
      <c r="B314" s="1" t="str">
        <f>"01:00"</f>
        <v>01:00</v>
      </c>
      <c r="C314" s="2">
        <f>136.2381</f>
        <v>136.2381</v>
      </c>
      <c r="D314" s="7" t="s">
        <v>22</v>
      </c>
      <c r="E314" s="2">
        <f>0</f>
        <v>0</v>
      </c>
      <c r="F314" s="2">
        <f>0</f>
        <v>0</v>
      </c>
      <c r="G314" s="2">
        <f>1017.347</f>
        <v>1017.347</v>
      </c>
      <c r="H314" s="2">
        <f>1018.91095</f>
        <v>1018.91095</v>
      </c>
      <c r="I314" s="2">
        <f>119.21789</f>
        <v>119.21789</v>
      </c>
      <c r="J314" s="2">
        <f t="shared" si="43"/>
        <v>0</v>
      </c>
      <c r="K314" s="2">
        <f>20.5789</f>
        <v>20.578900000000001</v>
      </c>
      <c r="L314" s="2">
        <f>19.744001</f>
        <v>19.744001000000001</v>
      </c>
      <c r="M314" s="2">
        <f>77.38146</f>
        <v>77.381460000000004</v>
      </c>
      <c r="N314" s="2">
        <f>79.62278</f>
        <v>79.622780000000006</v>
      </c>
      <c r="O314" s="2">
        <f>0.72433203</f>
        <v>0.72433203000000002</v>
      </c>
      <c r="P314" s="2">
        <f t="shared" ref="P314:P320" si="45">0</f>
        <v>0</v>
      </c>
      <c r="Q314" s="2">
        <f>1.5380813</f>
        <v>1.5380813</v>
      </c>
      <c r="R314" s="7" t="s">
        <v>22</v>
      </c>
    </row>
    <row r="315" spans="1:18" ht="17">
      <c r="A315" s="1" t="str">
        <f t="shared" si="44"/>
        <v>2020/05/18</v>
      </c>
      <c r="B315" s="1" t="str">
        <f>"02:00"</f>
        <v>02:00</v>
      </c>
      <c r="C315" s="2"/>
      <c r="D315" s="2">
        <f>158</f>
        <v>158</v>
      </c>
      <c r="E315" s="2"/>
      <c r="F315" s="2">
        <f t="shared" ref="F315:F337" si="46">0</f>
        <v>0</v>
      </c>
      <c r="G315" s="2"/>
      <c r="H315" s="2">
        <f>1018.4291</f>
        <v>1018.4290999999999</v>
      </c>
      <c r="I315" s="2"/>
      <c r="J315" s="2">
        <f t="shared" si="43"/>
        <v>0</v>
      </c>
      <c r="K315" s="2"/>
      <c r="L315" s="2">
        <f>20.04075</f>
        <v>20.040749999999999</v>
      </c>
      <c r="M315" s="2"/>
      <c r="N315" s="2">
        <f>77.03528</f>
        <v>77.03528</v>
      </c>
      <c r="O315" s="2"/>
      <c r="P315" s="2">
        <f t="shared" si="45"/>
        <v>0</v>
      </c>
      <c r="Q315" s="2"/>
      <c r="R315" s="2">
        <f>0.75126016</f>
        <v>0.75126015999999995</v>
      </c>
    </row>
    <row r="316" spans="1:18" ht="17">
      <c r="A316" s="1" t="str">
        <f t="shared" si="44"/>
        <v>2020/05/18</v>
      </c>
      <c r="B316" s="1" t="str">
        <f>"03:00"</f>
        <v>03:00</v>
      </c>
      <c r="C316" s="2"/>
      <c r="D316" s="2">
        <f>342</f>
        <v>342</v>
      </c>
      <c r="E316" s="2"/>
      <c r="F316" s="2">
        <f t="shared" si="46"/>
        <v>0</v>
      </c>
      <c r="G316" s="2"/>
      <c r="H316" s="2">
        <f>1018.1016</f>
        <v>1018.1016</v>
      </c>
      <c r="I316" s="2"/>
      <c r="J316" s="2">
        <f t="shared" si="43"/>
        <v>0</v>
      </c>
      <c r="K316" s="2"/>
      <c r="L316" s="2">
        <f>20.012386</f>
        <v>20.012385999999999</v>
      </c>
      <c r="M316" s="2"/>
      <c r="N316" s="2">
        <f>71.16389</f>
        <v>71.163889999999995</v>
      </c>
      <c r="O316" s="2"/>
      <c r="P316" s="2">
        <f t="shared" si="45"/>
        <v>0</v>
      </c>
      <c r="Q316" s="2"/>
      <c r="R316" s="2">
        <f>0.25909054</f>
        <v>0.25909053999999998</v>
      </c>
    </row>
    <row r="317" spans="1:18" ht="17">
      <c r="A317" s="1" t="str">
        <f t="shared" si="44"/>
        <v>2020/05/18</v>
      </c>
      <c r="B317" s="1" t="str">
        <f>"04:00"</f>
        <v>04:00</v>
      </c>
      <c r="C317" s="2"/>
      <c r="D317" s="7" t="s">
        <v>22</v>
      </c>
      <c r="E317" s="2"/>
      <c r="F317" s="2">
        <f t="shared" si="46"/>
        <v>0</v>
      </c>
      <c r="G317" s="2"/>
      <c r="H317" s="2">
        <f>1017.6828</f>
        <v>1017.6828</v>
      </c>
      <c r="I317" s="2"/>
      <c r="J317" s="2">
        <f t="shared" si="43"/>
        <v>0</v>
      </c>
      <c r="K317" s="2"/>
      <c r="L317" s="2">
        <f>20.018425</f>
        <v>20.018425000000001</v>
      </c>
      <c r="M317" s="2"/>
      <c r="N317" s="2">
        <f>71.63722</f>
        <v>71.637219999999999</v>
      </c>
      <c r="O317" s="2"/>
      <c r="P317" s="2">
        <f t="shared" si="45"/>
        <v>0</v>
      </c>
      <c r="Q317" s="2"/>
      <c r="R317" s="7" t="s">
        <v>22</v>
      </c>
    </row>
    <row r="318" spans="1:18" ht="17">
      <c r="A318" s="1" t="str">
        <f t="shared" si="44"/>
        <v>2020/05/18</v>
      </c>
      <c r="B318" s="1" t="str">
        <f>"05:00"</f>
        <v>05:00</v>
      </c>
      <c r="C318" s="2"/>
      <c r="D318" s="2">
        <f>148</f>
        <v>148</v>
      </c>
      <c r="E318" s="2"/>
      <c r="F318" s="2">
        <f t="shared" si="46"/>
        <v>0</v>
      </c>
      <c r="G318" s="2"/>
      <c r="H318" s="2">
        <f>1017.43384</f>
        <v>1017.43384</v>
      </c>
      <c r="I318" s="2"/>
      <c r="J318" s="2">
        <f t="shared" si="43"/>
        <v>0</v>
      </c>
      <c r="K318" s="2"/>
      <c r="L318" s="2">
        <f>20.560125</f>
        <v>20.560124999999999</v>
      </c>
      <c r="M318" s="2"/>
      <c r="N318" s="2">
        <f>65.07833</f>
        <v>65.078329999999994</v>
      </c>
      <c r="O318" s="2"/>
      <c r="P318" s="2">
        <f t="shared" si="45"/>
        <v>0</v>
      </c>
      <c r="Q318" s="2"/>
      <c r="R318" s="2">
        <f>0.28294063</f>
        <v>0.28294063000000003</v>
      </c>
    </row>
    <row r="319" spans="1:18" ht="17">
      <c r="A319" s="1" t="str">
        <f t="shared" si="44"/>
        <v>2020/05/18</v>
      </c>
      <c r="B319" s="1" t="str">
        <f>"06:00"</f>
        <v>06:00</v>
      </c>
      <c r="C319" s="2"/>
      <c r="D319" s="2">
        <f>317</f>
        <v>317</v>
      </c>
      <c r="E319" s="2"/>
      <c r="F319" s="2">
        <f t="shared" si="46"/>
        <v>0</v>
      </c>
      <c r="G319" s="2"/>
      <c r="H319" s="2">
        <f>1017.56116</f>
        <v>1017.56116</v>
      </c>
      <c r="I319" s="2"/>
      <c r="J319" s="2">
        <f>5.6505556</f>
        <v>5.6505555999999997</v>
      </c>
      <c r="K319" s="2"/>
      <c r="L319" s="2">
        <f>20.667864</f>
        <v>20.667864000000002</v>
      </c>
      <c r="M319" s="2"/>
      <c r="N319" s="2">
        <f>62.636112</f>
        <v>62.636111999999997</v>
      </c>
      <c r="O319" s="2"/>
      <c r="P319" s="2">
        <f t="shared" si="45"/>
        <v>0</v>
      </c>
      <c r="Q319" s="2"/>
      <c r="R319" s="2">
        <f>1.3261626</f>
        <v>1.3261626</v>
      </c>
    </row>
    <row r="320" spans="1:18" ht="17">
      <c r="A320" s="1" t="str">
        <f t="shared" si="44"/>
        <v>2020/05/18</v>
      </c>
      <c r="B320" s="1" t="str">
        <f>"07:00"</f>
        <v>07:00</v>
      </c>
      <c r="C320" s="2"/>
      <c r="D320" s="2">
        <f>284</f>
        <v>284</v>
      </c>
      <c r="E320" s="2"/>
      <c r="F320" s="2">
        <f t="shared" si="46"/>
        <v>0</v>
      </c>
      <c r="G320" s="2"/>
      <c r="H320" s="2">
        <f>1017.9464</f>
        <v>1017.9464</v>
      </c>
      <c r="I320" s="2"/>
      <c r="J320" s="2">
        <f>65.1725</f>
        <v>65.172499999999999</v>
      </c>
      <c r="K320" s="2"/>
      <c r="L320" s="2">
        <f>20.934914</f>
        <v>20.934913999999999</v>
      </c>
      <c r="M320" s="2"/>
      <c r="N320" s="2">
        <f>60.741665</f>
        <v>60.741664999999998</v>
      </c>
      <c r="O320" s="2"/>
      <c r="P320" s="2">
        <f t="shared" si="45"/>
        <v>0</v>
      </c>
      <c r="Q320" s="2"/>
      <c r="R320" s="2">
        <f>1.2765793</f>
        <v>1.2765793000000001</v>
      </c>
    </row>
    <row r="321" spans="1:18" ht="17">
      <c r="A321" s="1" t="str">
        <f t="shared" si="44"/>
        <v>2020/05/18</v>
      </c>
      <c r="B321" s="1" t="str">
        <f>"08:00"</f>
        <v>08:00</v>
      </c>
      <c r="C321" s="2"/>
      <c r="D321" s="2">
        <f>5</f>
        <v>5</v>
      </c>
      <c r="E321" s="2"/>
      <c r="F321" s="2">
        <f t="shared" si="46"/>
        <v>0</v>
      </c>
      <c r="G321" s="2"/>
      <c r="H321" s="2">
        <f>1018.0724</f>
        <v>1018.0724</v>
      </c>
      <c r="I321" s="2"/>
      <c r="J321" s="2">
        <f>163.01584</f>
        <v>163.01584</v>
      </c>
      <c r="K321" s="2"/>
      <c r="L321" s="2">
        <f>21.13917</f>
        <v>21.13917</v>
      </c>
      <c r="M321" s="2"/>
      <c r="N321" s="2">
        <f>67.48417</f>
        <v>67.484170000000006</v>
      </c>
      <c r="O321" s="2"/>
      <c r="P321" s="2">
        <f>0.5241188</f>
        <v>0.5241188</v>
      </c>
      <c r="Q321" s="2"/>
      <c r="R321" s="2">
        <f>2.164112</f>
        <v>2.1641119999999998</v>
      </c>
    </row>
    <row r="322" spans="1:18" ht="17">
      <c r="A322" s="1" t="str">
        <f t="shared" si="44"/>
        <v>2020/05/18</v>
      </c>
      <c r="B322" s="1" t="str">
        <f>"09:00"</f>
        <v>09:00</v>
      </c>
      <c r="C322" s="2"/>
      <c r="D322" s="2">
        <f>11</f>
        <v>11</v>
      </c>
      <c r="E322" s="2"/>
      <c r="F322" s="2">
        <f t="shared" si="46"/>
        <v>0</v>
      </c>
      <c r="G322" s="2"/>
      <c r="H322" s="2">
        <f>1018.53955</f>
        <v>1018.53955</v>
      </c>
      <c r="I322" s="2"/>
      <c r="J322" s="2">
        <f>253.81134</f>
        <v>253.81134</v>
      </c>
      <c r="K322" s="2"/>
      <c r="L322" s="2">
        <f>20.988493</f>
        <v>20.988492999999998</v>
      </c>
      <c r="M322" s="2"/>
      <c r="N322" s="2">
        <f>75.35954</f>
        <v>75.359539999999996</v>
      </c>
      <c r="O322" s="2"/>
      <c r="P322" s="2">
        <f>1.2234228</f>
        <v>1.2234228</v>
      </c>
      <c r="Q322" s="2"/>
      <c r="R322" s="2">
        <f>4.0601377</f>
        <v>4.0601377000000003</v>
      </c>
    </row>
    <row r="323" spans="1:18" ht="17">
      <c r="A323" s="1" t="str">
        <f t="shared" si="44"/>
        <v>2020/05/18</v>
      </c>
      <c r="B323" s="1" t="str">
        <f>"10:00"</f>
        <v>10:00</v>
      </c>
      <c r="C323" s="2"/>
      <c r="D323" s="2">
        <f>9</f>
        <v>9</v>
      </c>
      <c r="E323" s="2"/>
      <c r="F323" s="2">
        <f t="shared" si="46"/>
        <v>0</v>
      </c>
      <c r="G323" s="2"/>
      <c r="H323" s="2">
        <f>1018.8004</f>
        <v>1018.8004</v>
      </c>
      <c r="I323" s="2"/>
      <c r="J323" s="2">
        <f>273.88583</f>
        <v>273.88583</v>
      </c>
      <c r="K323" s="2"/>
      <c r="L323" s="2">
        <f>20.838522</f>
        <v>20.838522000000001</v>
      </c>
      <c r="M323" s="2"/>
      <c r="N323" s="2">
        <f>81.88583</f>
        <v>81.885829999999999</v>
      </c>
      <c r="O323" s="2"/>
      <c r="P323" s="2">
        <f>1.6265597</f>
        <v>1.6265597000000001</v>
      </c>
      <c r="Q323" s="2"/>
      <c r="R323" s="2">
        <f>4.168266</f>
        <v>4.168266</v>
      </c>
    </row>
    <row r="324" spans="1:18" ht="17">
      <c r="A324" s="1" t="str">
        <f t="shared" si="44"/>
        <v>2020/05/18</v>
      </c>
      <c r="B324" s="1" t="str">
        <f>"11:00"</f>
        <v>11:00</v>
      </c>
      <c r="C324" s="2"/>
      <c r="D324" s="2">
        <f>12</f>
        <v>12</v>
      </c>
      <c r="E324" s="2"/>
      <c r="F324" s="2">
        <f t="shared" si="46"/>
        <v>0</v>
      </c>
      <c r="G324" s="2"/>
      <c r="H324" s="2">
        <f>1018.1633</f>
        <v>1018.1633</v>
      </c>
      <c r="I324" s="2"/>
      <c r="J324" s="2">
        <f>247.32527</f>
        <v>247.32526999999999</v>
      </c>
      <c r="K324" s="2"/>
      <c r="L324" s="2">
        <f>21.387339</f>
        <v>21.387339000000001</v>
      </c>
      <c r="M324" s="2"/>
      <c r="N324" s="2">
        <f>80.80194</f>
        <v>80.801940000000002</v>
      </c>
      <c r="O324" s="2"/>
      <c r="P324" s="2">
        <f>1.6420003</f>
        <v>1.6420003000000001</v>
      </c>
      <c r="Q324" s="2"/>
      <c r="R324" s="2">
        <f>2.5359125</f>
        <v>2.5359124999999998</v>
      </c>
    </row>
    <row r="325" spans="1:18" ht="17">
      <c r="A325" s="1" t="str">
        <f t="shared" si="44"/>
        <v>2020/05/18</v>
      </c>
      <c r="B325" s="1" t="str">
        <f>"12:00"</f>
        <v>12:00</v>
      </c>
      <c r="C325" s="2"/>
      <c r="D325" s="2">
        <f>15</f>
        <v>15</v>
      </c>
      <c r="E325" s="2"/>
      <c r="F325" s="2">
        <f t="shared" si="46"/>
        <v>0</v>
      </c>
      <c r="G325" s="2"/>
      <c r="H325" s="2">
        <f>1018.2073</f>
        <v>1018.2073</v>
      </c>
      <c r="I325" s="2"/>
      <c r="J325" s="2">
        <f>258.38416</f>
        <v>258.38416000000001</v>
      </c>
      <c r="K325" s="2"/>
      <c r="L325" s="2">
        <f>21.8444</f>
        <v>21.8444</v>
      </c>
      <c r="M325" s="2"/>
      <c r="N325" s="2">
        <f>80.01861</f>
        <v>80.018609999999995</v>
      </c>
      <c r="O325" s="2"/>
      <c r="P325" s="2">
        <f>1.866728</f>
        <v>1.8667279999999999</v>
      </c>
      <c r="Q325" s="2"/>
      <c r="R325" s="2">
        <f>0.59362966</f>
        <v>0.59362965999999995</v>
      </c>
    </row>
    <row r="326" spans="1:18" ht="17">
      <c r="A326" s="1" t="str">
        <f t="shared" si="44"/>
        <v>2020/05/18</v>
      </c>
      <c r="B326" s="1" t="str">
        <f>"13:00"</f>
        <v>13:00</v>
      </c>
      <c r="C326" s="2"/>
      <c r="D326" s="2">
        <f>10</f>
        <v>10</v>
      </c>
      <c r="E326" s="2"/>
      <c r="F326" s="2">
        <f t="shared" si="46"/>
        <v>0</v>
      </c>
      <c r="G326" s="2"/>
      <c r="H326" s="2">
        <f>1018.07025</f>
        <v>1018.07025</v>
      </c>
      <c r="I326" s="2"/>
      <c r="J326" s="2">
        <f>410.29767</f>
        <v>410.29766999999998</v>
      </c>
      <c r="K326" s="2"/>
      <c r="L326" s="2">
        <f>22.380966</f>
        <v>22.380966000000001</v>
      </c>
      <c r="M326" s="2"/>
      <c r="N326" s="2">
        <f>77.90856</f>
        <v>77.908559999999994</v>
      </c>
      <c r="O326" s="2"/>
      <c r="P326" s="2">
        <f>3.0692618</f>
        <v>3.0692618</v>
      </c>
      <c r="Q326" s="2"/>
      <c r="R326" s="2">
        <f>0.8508589</f>
        <v>0.85085889999999997</v>
      </c>
    </row>
    <row r="327" spans="1:18" ht="17">
      <c r="A327" s="1" t="str">
        <f t="shared" si="44"/>
        <v>2020/05/18</v>
      </c>
      <c r="B327" s="1" t="str">
        <f>"14:00"</f>
        <v>14:00</v>
      </c>
      <c r="C327" s="2"/>
      <c r="D327" s="2">
        <f>175</f>
        <v>175</v>
      </c>
      <c r="E327" s="2"/>
      <c r="F327" s="2">
        <f t="shared" si="46"/>
        <v>0</v>
      </c>
      <c r="G327" s="2"/>
      <c r="H327" s="2">
        <f>1017.6663</f>
        <v>1017.6663</v>
      </c>
      <c r="I327" s="2"/>
      <c r="J327" s="2">
        <f>208.675</f>
        <v>208.67500000000001</v>
      </c>
      <c r="K327" s="2"/>
      <c r="L327" s="2">
        <f>20.864824</f>
        <v>20.864823999999999</v>
      </c>
      <c r="M327" s="2"/>
      <c r="N327" s="2">
        <f>84.48028</f>
        <v>84.480279999999993</v>
      </c>
      <c r="O327" s="2"/>
      <c r="P327" s="2">
        <f>1.5066882</f>
        <v>1.5066881999999999</v>
      </c>
      <c r="Q327" s="2"/>
      <c r="R327" s="2">
        <f>1.7455363</f>
        <v>1.7455362999999999</v>
      </c>
    </row>
    <row r="328" spans="1:18" ht="17">
      <c r="A328" s="1" t="str">
        <f t="shared" si="44"/>
        <v>2020/05/18</v>
      </c>
      <c r="B328" s="1" t="str">
        <f>"15:00"</f>
        <v>15:00</v>
      </c>
      <c r="C328" s="2"/>
      <c r="D328" s="2">
        <f>7</f>
        <v>7</v>
      </c>
      <c r="E328" s="2"/>
      <c r="F328" s="2">
        <f t="shared" si="46"/>
        <v>0</v>
      </c>
      <c r="G328" s="2"/>
      <c r="H328" s="2">
        <f>1016.97473</f>
        <v>1016.97473</v>
      </c>
      <c r="I328" s="2"/>
      <c r="J328" s="2">
        <f>392.50696</f>
        <v>392.50695999999999</v>
      </c>
      <c r="K328" s="2"/>
      <c r="L328" s="2">
        <f>20.459887</f>
        <v>20.459886999999998</v>
      </c>
      <c r="M328" s="2"/>
      <c r="N328" s="2">
        <f>85.725555</f>
        <v>85.725555</v>
      </c>
      <c r="O328" s="2"/>
      <c r="P328" s="2">
        <f>2.7122135</f>
        <v>2.7122134999999998</v>
      </c>
      <c r="Q328" s="2"/>
      <c r="R328" s="2">
        <f>0.91896963</f>
        <v>0.91896962999999998</v>
      </c>
    </row>
    <row r="329" spans="1:18" ht="17">
      <c r="A329" s="1" t="str">
        <f t="shared" si="44"/>
        <v>2020/05/18</v>
      </c>
      <c r="B329" s="1" t="str">
        <f>"16:00"</f>
        <v>16:00</v>
      </c>
      <c r="C329" s="2"/>
      <c r="D329" s="2">
        <f>22</f>
        <v>22</v>
      </c>
      <c r="E329" s="2"/>
      <c r="F329" s="2">
        <f t="shared" si="46"/>
        <v>0</v>
      </c>
      <c r="G329" s="2"/>
      <c r="H329" s="2">
        <f>1016.86633</f>
        <v>1016.8663299999999</v>
      </c>
      <c r="I329" s="2"/>
      <c r="J329" s="2">
        <f>270.04416</f>
        <v>270.04415999999998</v>
      </c>
      <c r="K329" s="2"/>
      <c r="L329" s="2">
        <f>20.628178</f>
        <v>20.628177999999998</v>
      </c>
      <c r="M329" s="2"/>
      <c r="N329" s="2">
        <f>82.47195</f>
        <v>82.471950000000007</v>
      </c>
      <c r="O329" s="2"/>
      <c r="P329" s="2">
        <f>1.7737552</f>
        <v>1.7737552000000001</v>
      </c>
      <c r="Q329" s="2"/>
      <c r="R329" s="2">
        <f>0.63676107</f>
        <v>0.63676107000000004</v>
      </c>
    </row>
    <row r="330" spans="1:18" ht="17">
      <c r="A330" s="1" t="str">
        <f t="shared" si="44"/>
        <v>2020/05/18</v>
      </c>
      <c r="B330" s="1" t="str">
        <f>"17:00"</f>
        <v>17:00</v>
      </c>
      <c r="C330" s="2"/>
      <c r="D330" s="2">
        <f>164</f>
        <v>164</v>
      </c>
      <c r="E330" s="2"/>
      <c r="F330" s="2">
        <f t="shared" si="46"/>
        <v>0</v>
      </c>
      <c r="G330" s="2"/>
      <c r="H330" s="2">
        <f>1016.8251</f>
        <v>1016.8251</v>
      </c>
      <c r="I330" s="2"/>
      <c r="J330" s="2">
        <f>180.62167</f>
        <v>180.62166999999999</v>
      </c>
      <c r="K330" s="2"/>
      <c r="L330" s="2">
        <f>20.52087</f>
        <v>20.520869999999999</v>
      </c>
      <c r="M330" s="2"/>
      <c r="N330" s="2">
        <f>82.545</f>
        <v>82.545000000000002</v>
      </c>
      <c r="O330" s="2"/>
      <c r="P330" s="2">
        <f>1.0666926</f>
        <v>1.0666926000000001</v>
      </c>
      <c r="Q330" s="2"/>
      <c r="R330" s="2">
        <f>1.3332752</f>
        <v>1.3332752000000001</v>
      </c>
    </row>
    <row r="331" spans="1:18" ht="17">
      <c r="A331" s="1" t="str">
        <f t="shared" si="44"/>
        <v>2020/05/18</v>
      </c>
      <c r="B331" s="1" t="str">
        <f>"18:00"</f>
        <v>18:00</v>
      </c>
      <c r="C331" s="2"/>
      <c r="D331" s="2">
        <f>172</f>
        <v>172</v>
      </c>
      <c r="E331" s="2"/>
      <c r="F331" s="2">
        <f t="shared" si="46"/>
        <v>0</v>
      </c>
      <c r="G331" s="2"/>
      <c r="H331" s="2">
        <f>1016.4069</f>
        <v>1016.4069</v>
      </c>
      <c r="I331" s="2"/>
      <c r="J331" s="2">
        <f>92.086945</f>
        <v>92.086945</v>
      </c>
      <c r="K331" s="2"/>
      <c r="L331" s="2">
        <f>20.174932</f>
        <v>20.174931999999998</v>
      </c>
      <c r="M331" s="2"/>
      <c r="N331" s="2">
        <f>83.59194</f>
        <v>83.591939999999994</v>
      </c>
      <c r="O331" s="2"/>
      <c r="P331" s="2">
        <f>0.37252727</f>
        <v>0.37252727000000002</v>
      </c>
      <c r="Q331" s="2"/>
      <c r="R331" s="2">
        <f>1.5707091</f>
        <v>1.5707091</v>
      </c>
    </row>
    <row r="332" spans="1:18" ht="17">
      <c r="A332" s="1" t="str">
        <f t="shared" si="44"/>
        <v>2020/05/18</v>
      </c>
      <c r="B332" s="1" t="str">
        <f>"19:00"</f>
        <v>19:00</v>
      </c>
      <c r="C332" s="2"/>
      <c r="D332" s="2">
        <f>163</f>
        <v>163</v>
      </c>
      <c r="E332" s="2"/>
      <c r="F332" s="2">
        <f t="shared" si="46"/>
        <v>0</v>
      </c>
      <c r="G332" s="2"/>
      <c r="H332" s="2">
        <f>1016.22235</f>
        <v>1016.22235</v>
      </c>
      <c r="I332" s="2"/>
      <c r="J332" s="2">
        <f>34.57639</f>
        <v>34.576390000000004</v>
      </c>
      <c r="K332" s="2"/>
      <c r="L332" s="2">
        <f>20.016588</f>
        <v>20.016587999999999</v>
      </c>
      <c r="M332" s="2"/>
      <c r="N332" s="2">
        <f>83.959724</f>
        <v>83.959723999999994</v>
      </c>
      <c r="O332" s="2"/>
      <c r="P332" s="2">
        <f t="shared" ref="P332:P337" si="47">0</f>
        <v>0</v>
      </c>
      <c r="Q332" s="2"/>
      <c r="R332" s="2">
        <f>2.3633475</f>
        <v>2.3633475000000002</v>
      </c>
    </row>
    <row r="333" spans="1:18" ht="17">
      <c r="A333" s="1" t="str">
        <f t="shared" si="44"/>
        <v>2020/05/18</v>
      </c>
      <c r="B333" s="1" t="str">
        <f>"20:00"</f>
        <v>20:00</v>
      </c>
      <c r="C333" s="2"/>
      <c r="D333" s="2">
        <f>164</f>
        <v>164</v>
      </c>
      <c r="E333" s="2"/>
      <c r="F333" s="2">
        <f t="shared" si="46"/>
        <v>0</v>
      </c>
      <c r="G333" s="2"/>
      <c r="H333" s="2">
        <f>1015.7948</f>
        <v>1015.7948</v>
      </c>
      <c r="I333" s="2"/>
      <c r="J333" s="2">
        <f>5.175</f>
        <v>5.1749999999999998</v>
      </c>
      <c r="K333" s="2"/>
      <c r="L333" s="2">
        <f>20.041529</f>
        <v>20.041529000000001</v>
      </c>
      <c r="M333" s="2"/>
      <c r="N333" s="2">
        <f>83.09639</f>
        <v>83.09639</v>
      </c>
      <c r="O333" s="2"/>
      <c r="P333" s="2">
        <f t="shared" si="47"/>
        <v>0</v>
      </c>
      <c r="Q333" s="2"/>
      <c r="R333" s="2">
        <f>2.1838167</f>
        <v>2.1838166999999999</v>
      </c>
    </row>
    <row r="334" spans="1:18" ht="17">
      <c r="A334" s="1" t="str">
        <f t="shared" si="44"/>
        <v>2020/05/18</v>
      </c>
      <c r="B334" s="1" t="str">
        <f>"21:00"</f>
        <v>21:00</v>
      </c>
      <c r="C334" s="2"/>
      <c r="D334" s="2">
        <f>160</f>
        <v>160</v>
      </c>
      <c r="E334" s="2"/>
      <c r="F334" s="2">
        <f t="shared" si="46"/>
        <v>0</v>
      </c>
      <c r="G334" s="2"/>
      <c r="H334" s="2">
        <f>1015.84424</f>
        <v>1015.84424</v>
      </c>
      <c r="I334" s="2"/>
      <c r="J334" s="2">
        <f>0</f>
        <v>0</v>
      </c>
      <c r="K334" s="2"/>
      <c r="L334" s="2">
        <f>20.149906</f>
        <v>20.149906000000001</v>
      </c>
      <c r="M334" s="2"/>
      <c r="N334" s="2">
        <f>82.06028</f>
        <v>82.060280000000006</v>
      </c>
      <c r="O334" s="2"/>
      <c r="P334" s="2">
        <f t="shared" si="47"/>
        <v>0</v>
      </c>
      <c r="Q334" s="2"/>
      <c r="R334" s="2">
        <f>1.0672865</f>
        <v>1.0672865</v>
      </c>
    </row>
    <row r="335" spans="1:18" ht="17">
      <c r="A335" s="1" t="str">
        <f t="shared" si="44"/>
        <v>2020/05/18</v>
      </c>
      <c r="B335" s="1" t="str">
        <f>"22:00"</f>
        <v>22:00</v>
      </c>
      <c r="C335" s="2"/>
      <c r="D335" s="2">
        <f>168</f>
        <v>168</v>
      </c>
      <c r="E335" s="2"/>
      <c r="F335" s="2">
        <f t="shared" si="46"/>
        <v>0</v>
      </c>
      <c r="G335" s="2"/>
      <c r="H335" s="2">
        <f>1015.9011</f>
        <v>1015.9011</v>
      </c>
      <c r="I335" s="2"/>
      <c r="J335" s="2">
        <f>0</f>
        <v>0</v>
      </c>
      <c r="K335" s="2"/>
      <c r="L335" s="2">
        <f>20.136892</f>
        <v>20.136892</v>
      </c>
      <c r="M335" s="2"/>
      <c r="N335" s="2">
        <f>81.01889</f>
        <v>81.018889999999999</v>
      </c>
      <c r="O335" s="2"/>
      <c r="P335" s="2">
        <f t="shared" si="47"/>
        <v>0</v>
      </c>
      <c r="Q335" s="2"/>
      <c r="R335" s="2">
        <f>1.1877049</f>
        <v>1.1877049</v>
      </c>
    </row>
    <row r="336" spans="1:18" ht="17">
      <c r="A336" s="1" t="str">
        <f t="shared" si="44"/>
        <v>2020/05/18</v>
      </c>
      <c r="B336" s="1" t="str">
        <f>"23:00"</f>
        <v>23:00</v>
      </c>
      <c r="C336" s="2"/>
      <c r="D336" s="2">
        <f>355</f>
        <v>355</v>
      </c>
      <c r="E336" s="2"/>
      <c r="F336" s="2">
        <f t="shared" si="46"/>
        <v>0</v>
      </c>
      <c r="G336" s="2"/>
      <c r="H336" s="2">
        <f>1016.11505</f>
        <v>1016.11505</v>
      </c>
      <c r="I336" s="2"/>
      <c r="J336" s="2">
        <f>0</f>
        <v>0</v>
      </c>
      <c r="K336" s="2"/>
      <c r="L336" s="2">
        <f>20.10547</f>
        <v>20.10547</v>
      </c>
      <c r="M336" s="2"/>
      <c r="N336" s="2">
        <f>80.013054</f>
        <v>80.013053999999997</v>
      </c>
      <c r="O336" s="2"/>
      <c r="P336" s="2">
        <f t="shared" si="47"/>
        <v>0</v>
      </c>
      <c r="Q336" s="2"/>
      <c r="R336" s="2">
        <f>1.023351</f>
        <v>1.0233509999999999</v>
      </c>
    </row>
    <row r="337" spans="1:18" ht="17">
      <c r="A337" s="1" t="str">
        <f t="shared" si="44"/>
        <v>2020/05/18</v>
      </c>
      <c r="B337" s="1" t="str">
        <f>"24:00"</f>
        <v>24:00</v>
      </c>
      <c r="C337" s="2"/>
      <c r="D337" s="7" t="s">
        <v>22</v>
      </c>
      <c r="E337" s="2"/>
      <c r="F337" s="2">
        <f t="shared" si="46"/>
        <v>0</v>
      </c>
      <c r="G337" s="2"/>
      <c r="H337" s="2">
        <f>1015.7919</f>
        <v>1015.7919000000001</v>
      </c>
      <c r="I337" s="2"/>
      <c r="J337" s="2">
        <f>0</f>
        <v>0</v>
      </c>
      <c r="K337" s="2"/>
      <c r="L337" s="2">
        <f>20.237165</f>
        <v>20.237165000000001</v>
      </c>
      <c r="M337" s="2"/>
      <c r="N337" s="2">
        <f>76.818054</f>
        <v>76.818054000000004</v>
      </c>
      <c r="O337" s="2"/>
      <c r="P337" s="2">
        <f t="shared" si="47"/>
        <v>0</v>
      </c>
      <c r="Q337" s="2"/>
      <c r="R337" s="7" t="s">
        <v>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323C2-3FCE-3C4B-8FD2-704735B72AC3}">
  <dimension ref="A1:L340"/>
  <sheetViews>
    <sheetView workbookViewId="0">
      <selection activeCell="C1" sqref="C1:C4"/>
    </sheetView>
  </sheetViews>
  <sheetFormatPr baseColWidth="10" defaultRowHeight="16"/>
  <cols>
    <col min="1" max="1" width="14.5" customWidth="1"/>
    <col min="2" max="2" width="8" customWidth="1"/>
    <col min="3" max="12" width="15.1640625" customWidth="1"/>
    <col min="257" max="257" width="14.5" customWidth="1"/>
    <col min="258" max="258" width="8" customWidth="1"/>
    <col min="259" max="268" width="15.1640625" customWidth="1"/>
    <col min="513" max="513" width="14.5" customWidth="1"/>
    <col min="514" max="514" width="8" customWidth="1"/>
    <col min="515" max="524" width="15.1640625" customWidth="1"/>
    <col min="769" max="769" width="14.5" customWidth="1"/>
    <col min="770" max="770" width="8" customWidth="1"/>
    <col min="771" max="780" width="15.1640625" customWidth="1"/>
    <col min="1025" max="1025" width="14.5" customWidth="1"/>
    <col min="1026" max="1026" width="8" customWidth="1"/>
    <col min="1027" max="1036" width="15.1640625" customWidth="1"/>
    <col min="1281" max="1281" width="14.5" customWidth="1"/>
    <col min="1282" max="1282" width="8" customWidth="1"/>
    <col min="1283" max="1292" width="15.1640625" customWidth="1"/>
    <col min="1537" max="1537" width="14.5" customWidth="1"/>
    <col min="1538" max="1538" width="8" customWidth="1"/>
    <col min="1539" max="1548" width="15.1640625" customWidth="1"/>
    <col min="1793" max="1793" width="14.5" customWidth="1"/>
    <col min="1794" max="1794" width="8" customWidth="1"/>
    <col min="1795" max="1804" width="15.1640625" customWidth="1"/>
    <col min="2049" max="2049" width="14.5" customWidth="1"/>
    <col min="2050" max="2050" width="8" customWidth="1"/>
    <col min="2051" max="2060" width="15.1640625" customWidth="1"/>
    <col min="2305" max="2305" width="14.5" customWidth="1"/>
    <col min="2306" max="2306" width="8" customWidth="1"/>
    <col min="2307" max="2316" width="15.1640625" customWidth="1"/>
    <col min="2561" max="2561" width="14.5" customWidth="1"/>
    <col min="2562" max="2562" width="8" customWidth="1"/>
    <col min="2563" max="2572" width="15.1640625" customWidth="1"/>
    <col min="2817" max="2817" width="14.5" customWidth="1"/>
    <col min="2818" max="2818" width="8" customWidth="1"/>
    <col min="2819" max="2828" width="15.1640625" customWidth="1"/>
    <col min="3073" max="3073" width="14.5" customWidth="1"/>
    <col min="3074" max="3074" width="8" customWidth="1"/>
    <col min="3075" max="3084" width="15.1640625" customWidth="1"/>
    <col min="3329" max="3329" width="14.5" customWidth="1"/>
    <col min="3330" max="3330" width="8" customWidth="1"/>
    <col min="3331" max="3340" width="15.1640625" customWidth="1"/>
    <col min="3585" max="3585" width="14.5" customWidth="1"/>
    <col min="3586" max="3586" width="8" customWidth="1"/>
    <col min="3587" max="3596" width="15.1640625" customWidth="1"/>
    <col min="3841" max="3841" width="14.5" customWidth="1"/>
    <col min="3842" max="3842" width="8" customWidth="1"/>
    <col min="3843" max="3852" width="15.1640625" customWidth="1"/>
    <col min="4097" max="4097" width="14.5" customWidth="1"/>
    <col min="4098" max="4098" width="8" customWidth="1"/>
    <col min="4099" max="4108" width="15.1640625" customWidth="1"/>
    <col min="4353" max="4353" width="14.5" customWidth="1"/>
    <col min="4354" max="4354" width="8" customWidth="1"/>
    <col min="4355" max="4364" width="15.1640625" customWidth="1"/>
    <col min="4609" max="4609" width="14.5" customWidth="1"/>
    <col min="4610" max="4610" width="8" customWidth="1"/>
    <col min="4611" max="4620" width="15.1640625" customWidth="1"/>
    <col min="4865" max="4865" width="14.5" customWidth="1"/>
    <col min="4866" max="4866" width="8" customWidth="1"/>
    <col min="4867" max="4876" width="15.1640625" customWidth="1"/>
    <col min="5121" max="5121" width="14.5" customWidth="1"/>
    <col min="5122" max="5122" width="8" customWidth="1"/>
    <col min="5123" max="5132" width="15.1640625" customWidth="1"/>
    <col min="5377" max="5377" width="14.5" customWidth="1"/>
    <col min="5378" max="5378" width="8" customWidth="1"/>
    <col min="5379" max="5388" width="15.1640625" customWidth="1"/>
    <col min="5633" max="5633" width="14.5" customWidth="1"/>
    <col min="5634" max="5634" width="8" customWidth="1"/>
    <col min="5635" max="5644" width="15.1640625" customWidth="1"/>
    <col min="5889" max="5889" width="14.5" customWidth="1"/>
    <col min="5890" max="5890" width="8" customWidth="1"/>
    <col min="5891" max="5900" width="15.1640625" customWidth="1"/>
    <col min="6145" max="6145" width="14.5" customWidth="1"/>
    <col min="6146" max="6146" width="8" customWidth="1"/>
    <col min="6147" max="6156" width="15.1640625" customWidth="1"/>
    <col min="6401" max="6401" width="14.5" customWidth="1"/>
    <col min="6402" max="6402" width="8" customWidth="1"/>
    <col min="6403" max="6412" width="15.1640625" customWidth="1"/>
    <col min="6657" max="6657" width="14.5" customWidth="1"/>
    <col min="6658" max="6658" width="8" customWidth="1"/>
    <col min="6659" max="6668" width="15.1640625" customWidth="1"/>
    <col min="6913" max="6913" width="14.5" customWidth="1"/>
    <col min="6914" max="6914" width="8" customWidth="1"/>
    <col min="6915" max="6924" width="15.1640625" customWidth="1"/>
    <col min="7169" max="7169" width="14.5" customWidth="1"/>
    <col min="7170" max="7170" width="8" customWidth="1"/>
    <col min="7171" max="7180" width="15.1640625" customWidth="1"/>
    <col min="7425" max="7425" width="14.5" customWidth="1"/>
    <col min="7426" max="7426" width="8" customWidth="1"/>
    <col min="7427" max="7436" width="15.1640625" customWidth="1"/>
    <col min="7681" max="7681" width="14.5" customWidth="1"/>
    <col min="7682" max="7682" width="8" customWidth="1"/>
    <col min="7683" max="7692" width="15.1640625" customWidth="1"/>
    <col min="7937" max="7937" width="14.5" customWidth="1"/>
    <col min="7938" max="7938" width="8" customWidth="1"/>
    <col min="7939" max="7948" width="15.1640625" customWidth="1"/>
    <col min="8193" max="8193" width="14.5" customWidth="1"/>
    <col min="8194" max="8194" width="8" customWidth="1"/>
    <col min="8195" max="8204" width="15.1640625" customWidth="1"/>
    <col min="8449" max="8449" width="14.5" customWidth="1"/>
    <col min="8450" max="8450" width="8" customWidth="1"/>
    <col min="8451" max="8460" width="15.1640625" customWidth="1"/>
    <col min="8705" max="8705" width="14.5" customWidth="1"/>
    <col min="8706" max="8706" width="8" customWidth="1"/>
    <col min="8707" max="8716" width="15.1640625" customWidth="1"/>
    <col min="8961" max="8961" width="14.5" customWidth="1"/>
    <col min="8962" max="8962" width="8" customWidth="1"/>
    <col min="8963" max="8972" width="15.1640625" customWidth="1"/>
    <col min="9217" max="9217" width="14.5" customWidth="1"/>
    <col min="9218" max="9218" width="8" customWidth="1"/>
    <col min="9219" max="9228" width="15.1640625" customWidth="1"/>
    <col min="9473" max="9473" width="14.5" customWidth="1"/>
    <col min="9474" max="9474" width="8" customWidth="1"/>
    <col min="9475" max="9484" width="15.1640625" customWidth="1"/>
    <col min="9729" max="9729" width="14.5" customWidth="1"/>
    <col min="9730" max="9730" width="8" customWidth="1"/>
    <col min="9731" max="9740" width="15.1640625" customWidth="1"/>
    <col min="9985" max="9985" width="14.5" customWidth="1"/>
    <col min="9986" max="9986" width="8" customWidth="1"/>
    <col min="9987" max="9996" width="15.1640625" customWidth="1"/>
    <col min="10241" max="10241" width="14.5" customWidth="1"/>
    <col min="10242" max="10242" width="8" customWidth="1"/>
    <col min="10243" max="10252" width="15.1640625" customWidth="1"/>
    <col min="10497" max="10497" width="14.5" customWidth="1"/>
    <col min="10498" max="10498" width="8" customWidth="1"/>
    <col min="10499" max="10508" width="15.1640625" customWidth="1"/>
    <col min="10753" max="10753" width="14.5" customWidth="1"/>
    <col min="10754" max="10754" width="8" customWidth="1"/>
    <col min="10755" max="10764" width="15.1640625" customWidth="1"/>
    <col min="11009" max="11009" width="14.5" customWidth="1"/>
    <col min="11010" max="11010" width="8" customWidth="1"/>
    <col min="11011" max="11020" width="15.1640625" customWidth="1"/>
    <col min="11265" max="11265" width="14.5" customWidth="1"/>
    <col min="11266" max="11266" width="8" customWidth="1"/>
    <col min="11267" max="11276" width="15.1640625" customWidth="1"/>
    <col min="11521" max="11521" width="14.5" customWidth="1"/>
    <col min="11522" max="11522" width="8" customWidth="1"/>
    <col min="11523" max="11532" width="15.1640625" customWidth="1"/>
    <col min="11777" max="11777" width="14.5" customWidth="1"/>
    <col min="11778" max="11778" width="8" customWidth="1"/>
    <col min="11779" max="11788" width="15.1640625" customWidth="1"/>
    <col min="12033" max="12033" width="14.5" customWidth="1"/>
    <col min="12034" max="12034" width="8" customWidth="1"/>
    <col min="12035" max="12044" width="15.1640625" customWidth="1"/>
    <col min="12289" max="12289" width="14.5" customWidth="1"/>
    <col min="12290" max="12290" width="8" customWidth="1"/>
    <col min="12291" max="12300" width="15.1640625" customWidth="1"/>
    <col min="12545" max="12545" width="14.5" customWidth="1"/>
    <col min="12546" max="12546" width="8" customWidth="1"/>
    <col min="12547" max="12556" width="15.1640625" customWidth="1"/>
    <col min="12801" max="12801" width="14.5" customWidth="1"/>
    <col min="12802" max="12802" width="8" customWidth="1"/>
    <col min="12803" max="12812" width="15.1640625" customWidth="1"/>
    <col min="13057" max="13057" width="14.5" customWidth="1"/>
    <col min="13058" max="13058" width="8" customWidth="1"/>
    <col min="13059" max="13068" width="15.1640625" customWidth="1"/>
    <col min="13313" max="13313" width="14.5" customWidth="1"/>
    <col min="13314" max="13314" width="8" customWidth="1"/>
    <col min="13315" max="13324" width="15.1640625" customWidth="1"/>
    <col min="13569" max="13569" width="14.5" customWidth="1"/>
    <col min="13570" max="13570" width="8" customWidth="1"/>
    <col min="13571" max="13580" width="15.1640625" customWidth="1"/>
    <col min="13825" max="13825" width="14.5" customWidth="1"/>
    <col min="13826" max="13826" width="8" customWidth="1"/>
    <col min="13827" max="13836" width="15.1640625" customWidth="1"/>
    <col min="14081" max="14081" width="14.5" customWidth="1"/>
    <col min="14082" max="14082" width="8" customWidth="1"/>
    <col min="14083" max="14092" width="15.1640625" customWidth="1"/>
    <col min="14337" max="14337" width="14.5" customWidth="1"/>
    <col min="14338" max="14338" width="8" customWidth="1"/>
    <col min="14339" max="14348" width="15.1640625" customWidth="1"/>
    <col min="14593" max="14593" width="14.5" customWidth="1"/>
    <col min="14594" max="14594" width="8" customWidth="1"/>
    <col min="14595" max="14604" width="15.1640625" customWidth="1"/>
    <col min="14849" max="14849" width="14.5" customWidth="1"/>
    <col min="14850" max="14850" width="8" customWidth="1"/>
    <col min="14851" max="14860" width="15.1640625" customWidth="1"/>
    <col min="15105" max="15105" width="14.5" customWidth="1"/>
    <col min="15106" max="15106" width="8" customWidth="1"/>
    <col min="15107" max="15116" width="15.1640625" customWidth="1"/>
    <col min="15361" max="15361" width="14.5" customWidth="1"/>
    <col min="15362" max="15362" width="8" customWidth="1"/>
    <col min="15363" max="15372" width="15.1640625" customWidth="1"/>
    <col min="15617" max="15617" width="14.5" customWidth="1"/>
    <col min="15618" max="15618" width="8" customWidth="1"/>
    <col min="15619" max="15628" width="15.1640625" customWidth="1"/>
    <col min="15873" max="15873" width="14.5" customWidth="1"/>
    <col min="15874" max="15874" width="8" customWidth="1"/>
    <col min="15875" max="15884" width="15.1640625" customWidth="1"/>
    <col min="16129" max="16129" width="14.5" customWidth="1"/>
    <col min="16130" max="16130" width="8" customWidth="1"/>
    <col min="16131" max="16140" width="15.1640625" customWidth="1"/>
  </cols>
  <sheetData>
    <row r="1" spans="1:12" ht="34">
      <c r="A1" s="1" t="str">
        <f>"Giorno"</f>
        <v>Giorno</v>
      </c>
      <c r="B1" s="1" t="str">
        <f>"Ora"</f>
        <v>Ora</v>
      </c>
      <c r="C1" s="1" t="str">
        <f>"GREENGEA LAB 1"</f>
        <v>GREENGEA LAB 1</v>
      </c>
      <c r="D1" s="1"/>
      <c r="E1" s="1"/>
      <c r="F1" s="1"/>
      <c r="G1" s="1"/>
      <c r="H1" s="1"/>
      <c r="I1" s="1"/>
      <c r="J1" s="1"/>
      <c r="K1" s="1"/>
      <c r="L1" s="1"/>
    </row>
    <row r="2" spans="1:12" ht="17">
      <c r="A2" s="1"/>
      <c r="B2" s="1"/>
      <c r="C2" s="1" t="str">
        <f>"Benzene"</f>
        <v>Benzene</v>
      </c>
      <c r="D2" s="1"/>
      <c r="E2" s="1" t="str">
        <f>"Etilbenzene"</f>
        <v>Etilbenzene</v>
      </c>
      <c r="F2" s="1"/>
      <c r="G2" s="1" t="s">
        <v>19</v>
      </c>
      <c r="H2" s="1"/>
      <c r="I2" s="1" t="s">
        <v>20</v>
      </c>
      <c r="J2" s="1"/>
      <c r="K2" s="1" t="str">
        <f>"o-Xilene"</f>
        <v>o-Xilene</v>
      </c>
      <c r="L2" s="1"/>
    </row>
    <row r="3" spans="1:12" ht="17">
      <c r="A3" s="1"/>
      <c r="B3" s="1"/>
      <c r="C3" s="1" t="str">
        <f>"Media giornaliera"</f>
        <v>Media giornaliera</v>
      </c>
      <c r="D3" s="1" t="str">
        <f>"Media oraria"</f>
        <v>Media oraria</v>
      </c>
      <c r="E3" s="1" t="str">
        <f>"Media giornaliera"</f>
        <v>Media giornaliera</v>
      </c>
      <c r="F3" s="1" t="str">
        <f>"Media oraria"</f>
        <v>Media oraria</v>
      </c>
      <c r="G3" s="1" t="str">
        <f>"Media giornaliera"</f>
        <v>Media giornaliera</v>
      </c>
      <c r="H3" s="1" t="str">
        <f>"Media oraria"</f>
        <v>Media oraria</v>
      </c>
      <c r="I3" s="1" t="str">
        <f>"Media giornaliera"</f>
        <v>Media giornaliera</v>
      </c>
      <c r="J3" s="1" t="str">
        <f>"Media oraria"</f>
        <v>Media oraria</v>
      </c>
      <c r="K3" s="1" t="str">
        <f>"Media giornaliera"</f>
        <v>Media giornaliera</v>
      </c>
      <c r="L3" s="1" t="str">
        <f>"Media oraria"</f>
        <v>Media oraria</v>
      </c>
    </row>
    <row r="4" spans="1:12" ht="17">
      <c r="A4" s="1"/>
      <c r="B4" s="1"/>
      <c r="C4" s="1" t="str">
        <f t="shared" ref="C4:L4" si="0">"[µg/m³] "</f>
        <v xml:space="preserve">[µg/m³] </v>
      </c>
      <c r="D4" s="1" t="str">
        <f t="shared" si="0"/>
        <v xml:space="preserve">[µg/m³] </v>
      </c>
      <c r="E4" s="1" t="str">
        <f t="shared" si="0"/>
        <v xml:space="preserve">[µg/m³] </v>
      </c>
      <c r="F4" s="1" t="str">
        <f t="shared" si="0"/>
        <v xml:space="preserve">[µg/m³] </v>
      </c>
      <c r="G4" s="1" t="str">
        <f t="shared" si="0"/>
        <v xml:space="preserve">[µg/m³] </v>
      </c>
      <c r="H4" s="1" t="str">
        <f t="shared" si="0"/>
        <v xml:space="preserve">[µg/m³] </v>
      </c>
      <c r="I4" s="1" t="str">
        <f t="shared" si="0"/>
        <v xml:space="preserve">[µg/m³] </v>
      </c>
      <c r="J4" s="1" t="str">
        <f t="shared" si="0"/>
        <v xml:space="preserve">[µg/m³] </v>
      </c>
      <c r="K4" s="1" t="str">
        <f t="shared" si="0"/>
        <v xml:space="preserve">[µg/m³] </v>
      </c>
      <c r="L4" s="1" t="str">
        <f t="shared" si="0"/>
        <v xml:space="preserve">[µg/m³] </v>
      </c>
    </row>
    <row r="5" spans="1:12" ht="17">
      <c r="A5" s="1" t="str">
        <f t="shared" ref="A5:A28" si="1">"2020/05/05"</f>
        <v>2020/05/05</v>
      </c>
      <c r="B5" s="1" t="str">
        <f>"01:00"</f>
        <v>01:00</v>
      </c>
      <c r="C5" s="2">
        <f>0.41447434</f>
        <v>0.41447434</v>
      </c>
      <c r="D5" s="2">
        <f>0.30294433</f>
        <v>0.30294432999999998</v>
      </c>
      <c r="E5" s="2">
        <f>1.1389428</f>
        <v>1.1389427999999999</v>
      </c>
      <c r="F5" s="2">
        <f>0.6603216</f>
        <v>0.66032159999999995</v>
      </c>
      <c r="G5" s="2">
        <f>2.1845908</f>
        <v>2.1845908000000001</v>
      </c>
      <c r="H5" s="2">
        <f>0.7231301</f>
        <v>0.7231301</v>
      </c>
      <c r="I5" s="2">
        <f>3.5790806</f>
        <v>3.5790806000000002</v>
      </c>
      <c r="J5" s="2">
        <f>2.3420446</f>
        <v>2.3420445999999999</v>
      </c>
      <c r="K5" s="2">
        <f>3.323612</f>
        <v>3.3236119999999998</v>
      </c>
      <c r="L5" s="2">
        <f>0.24171111</f>
        <v>0.24171111000000001</v>
      </c>
    </row>
    <row r="6" spans="1:12" ht="17">
      <c r="A6" s="1" t="str">
        <f t="shared" si="1"/>
        <v>2020/05/05</v>
      </c>
      <c r="B6" s="1" t="str">
        <f>"02:00"</f>
        <v>02:00</v>
      </c>
      <c r="C6" s="2"/>
      <c r="D6" s="2">
        <f>0.2893258</f>
        <v>0.28932580000000002</v>
      </c>
      <c r="E6" s="2"/>
      <c r="F6" s="2">
        <f>0.60960335</f>
        <v>0.60960334999999999</v>
      </c>
      <c r="G6" s="2"/>
      <c r="H6" s="2">
        <f>0.6388045</f>
        <v>0.6388045</v>
      </c>
      <c r="I6" s="2"/>
      <c r="J6" s="2">
        <f>2.1818101</f>
        <v>2.1818100999999999</v>
      </c>
      <c r="K6" s="2"/>
      <c r="L6" s="2">
        <f>0.7869114</f>
        <v>0.78691140000000004</v>
      </c>
    </row>
    <row r="7" spans="1:12" ht="17">
      <c r="A7" s="1" t="str">
        <f t="shared" si="1"/>
        <v>2020/05/05</v>
      </c>
      <c r="B7" s="1" t="str">
        <f>"03:00"</f>
        <v>03:00</v>
      </c>
      <c r="C7" s="2"/>
      <c r="D7" s="2">
        <f>0.22581495</f>
        <v>0.22581494999999999</v>
      </c>
      <c r="E7" s="2"/>
      <c r="F7" s="2">
        <f>0.72426975</f>
        <v>0.72426975000000005</v>
      </c>
      <c r="G7" s="2"/>
      <c r="H7" s="2">
        <f>0.82268107</f>
        <v>0.82268107000000001</v>
      </c>
      <c r="I7" s="2"/>
      <c r="J7" s="2">
        <f>2.2435544</f>
        <v>2.2435543999999998</v>
      </c>
      <c r="K7" s="2"/>
      <c r="L7" s="2">
        <f>0.16163917</f>
        <v>0.16163917</v>
      </c>
    </row>
    <row r="8" spans="1:12" ht="17">
      <c r="A8" s="1" t="str">
        <f t="shared" si="1"/>
        <v>2020/05/05</v>
      </c>
      <c r="B8" s="1" t="str">
        <f>"04:00"</f>
        <v>04:00</v>
      </c>
      <c r="C8" s="2"/>
      <c r="D8" s="2">
        <f>0.5406101</f>
        <v>0.54061009999999998</v>
      </c>
      <c r="E8" s="2"/>
      <c r="F8" s="2">
        <f>0.67618245</f>
        <v>0.67618244999999999</v>
      </c>
      <c r="G8" s="2"/>
      <c r="H8" s="2">
        <f>1.1180818</f>
        <v>1.1180817999999999</v>
      </c>
      <c r="I8" s="2"/>
      <c r="J8" s="2">
        <f>2.4761937</f>
        <v>2.4761937000000001</v>
      </c>
      <c r="K8" s="2"/>
      <c r="L8" s="2">
        <f>2.9084234</f>
        <v>2.9084234000000002</v>
      </c>
    </row>
    <row r="9" spans="1:12" ht="17">
      <c r="A9" s="1" t="str">
        <f t="shared" si="1"/>
        <v>2020/05/05</v>
      </c>
      <c r="B9" s="1" t="str">
        <f>"05:00"</f>
        <v>05:00</v>
      </c>
      <c r="C9" s="2"/>
      <c r="D9" s="2">
        <f>0.47136912</f>
        <v>0.47136911999999997</v>
      </c>
      <c r="E9" s="2"/>
      <c r="F9" s="2">
        <f>0.87943035</f>
        <v>0.87943035000000003</v>
      </c>
      <c r="G9" s="2"/>
      <c r="H9" s="2">
        <f>2.116741</f>
        <v>2.1167410000000002</v>
      </c>
      <c r="I9" s="2"/>
      <c r="J9" s="2">
        <f>2.924202</f>
        <v>2.9242020000000002</v>
      </c>
      <c r="K9" s="2"/>
      <c r="L9" s="2">
        <f>1.1370927</f>
        <v>1.1370927</v>
      </c>
    </row>
    <row r="10" spans="1:12" ht="17">
      <c r="A10" s="1" t="str">
        <f t="shared" si="1"/>
        <v>2020/05/05</v>
      </c>
      <c r="B10" s="1" t="str">
        <f>"06:00"</f>
        <v>06:00</v>
      </c>
      <c r="C10" s="2"/>
      <c r="D10" s="2">
        <f>0.3254497</f>
        <v>0.32544970000000001</v>
      </c>
      <c r="E10" s="2"/>
      <c r="F10" s="2">
        <f>0.63783765</f>
        <v>0.63783765000000003</v>
      </c>
      <c r="G10" s="2"/>
      <c r="H10" s="2">
        <f>1.7502923</f>
        <v>1.7502922999999999</v>
      </c>
      <c r="I10" s="2"/>
      <c r="J10" s="2">
        <f>2.537902</f>
        <v>2.5379019999999999</v>
      </c>
      <c r="K10" s="2"/>
      <c r="L10" s="2">
        <f>0.50474966</f>
        <v>0.50474965999999999</v>
      </c>
    </row>
    <row r="11" spans="1:12" ht="17">
      <c r="A11" s="1" t="str">
        <f t="shared" si="1"/>
        <v>2020/05/05</v>
      </c>
      <c r="B11" s="1" t="str">
        <f>"07:00"</f>
        <v>07:00</v>
      </c>
      <c r="C11" s="2"/>
      <c r="D11" s="2">
        <f>0.49813828</f>
        <v>0.49813827999999999</v>
      </c>
      <c r="E11" s="2"/>
      <c r="F11" s="2">
        <f>0.9422447</f>
        <v>0.94224470000000005</v>
      </c>
      <c r="G11" s="2"/>
      <c r="H11" s="2">
        <f>2.8058157</f>
        <v>2.8058157000000001</v>
      </c>
      <c r="I11" s="2"/>
      <c r="J11" s="2">
        <f>3.644344</f>
        <v>3.6443439999999998</v>
      </c>
      <c r="K11" s="2"/>
      <c r="L11" s="2">
        <f>1.5274494</f>
        <v>1.5274494000000001</v>
      </c>
    </row>
    <row r="12" spans="1:12" ht="17">
      <c r="A12" s="1" t="str">
        <f t="shared" si="1"/>
        <v>2020/05/05</v>
      </c>
      <c r="B12" s="1" t="str">
        <f>"08:00"</f>
        <v>08:00</v>
      </c>
      <c r="C12" s="2"/>
      <c r="D12" s="2">
        <f>0.75729644</f>
        <v>0.75729643999999996</v>
      </c>
      <c r="E12" s="2"/>
      <c r="F12" s="2">
        <f>0.9696223</f>
        <v>0.96962230000000005</v>
      </c>
      <c r="G12" s="2"/>
      <c r="H12" s="2">
        <f>2.9731488</f>
        <v>2.9731488000000001</v>
      </c>
      <c r="I12" s="2"/>
      <c r="J12" s="2">
        <f>3.6726453</f>
        <v>3.6726453000000001</v>
      </c>
      <c r="K12" s="2"/>
      <c r="L12" s="2">
        <f>0.08096001</f>
        <v>8.0960009999999999E-2</v>
      </c>
    </row>
    <row r="13" spans="1:12" ht="17">
      <c r="A13" s="1" t="str">
        <f t="shared" si="1"/>
        <v>2020/05/05</v>
      </c>
      <c r="B13" s="1" t="str">
        <f>"09:00"</f>
        <v>09:00</v>
      </c>
      <c r="C13" s="2"/>
      <c r="D13" s="7" t="s">
        <v>21</v>
      </c>
      <c r="E13" s="2"/>
      <c r="F13" s="7" t="s">
        <v>21</v>
      </c>
      <c r="G13" s="2"/>
      <c r="H13" s="7" t="s">
        <v>21</v>
      </c>
      <c r="I13" s="2"/>
      <c r="J13" s="7" t="s">
        <v>21</v>
      </c>
      <c r="K13" s="2"/>
      <c r="L13" s="7" t="s">
        <v>21</v>
      </c>
    </row>
    <row r="14" spans="1:12" ht="17">
      <c r="A14" s="1" t="str">
        <f t="shared" si="1"/>
        <v>2020/05/05</v>
      </c>
      <c r="B14" s="1" t="str">
        <f>"10:00"</f>
        <v>10:00</v>
      </c>
      <c r="C14" s="2"/>
      <c r="D14" s="7" t="s">
        <v>21</v>
      </c>
      <c r="E14" s="2"/>
      <c r="F14" s="7" t="s">
        <v>21</v>
      </c>
      <c r="G14" s="2"/>
      <c r="H14" s="7" t="s">
        <v>21</v>
      </c>
      <c r="I14" s="2"/>
      <c r="J14" s="7" t="s">
        <v>21</v>
      </c>
      <c r="K14" s="2"/>
      <c r="L14" s="7" t="s">
        <v>21</v>
      </c>
    </row>
    <row r="15" spans="1:12" ht="17">
      <c r="A15" s="1" t="str">
        <f t="shared" si="1"/>
        <v>2020/05/05</v>
      </c>
      <c r="B15" s="1" t="str">
        <f>"11:00"</f>
        <v>11:00</v>
      </c>
      <c r="C15" s="2"/>
      <c r="D15" s="7" t="s">
        <v>21</v>
      </c>
      <c r="E15" s="2"/>
      <c r="F15" s="7" t="s">
        <v>21</v>
      </c>
      <c r="G15" s="2"/>
      <c r="H15" s="7" t="s">
        <v>21</v>
      </c>
      <c r="I15" s="2"/>
      <c r="J15" s="7" t="s">
        <v>21</v>
      </c>
      <c r="K15" s="2"/>
      <c r="L15" s="7" t="s">
        <v>21</v>
      </c>
    </row>
    <row r="16" spans="1:12" ht="17">
      <c r="A16" s="1" t="str">
        <f t="shared" si="1"/>
        <v>2020/05/05</v>
      </c>
      <c r="B16" s="1" t="str">
        <f>"12:00"</f>
        <v>12:00</v>
      </c>
      <c r="C16" s="2"/>
      <c r="D16" s="2">
        <f>0.52122104</f>
        <v>0.52122104000000002</v>
      </c>
      <c r="E16" s="2"/>
      <c r="F16" s="2">
        <f>0.9998359</f>
        <v>0.9998359</v>
      </c>
      <c r="G16" s="2"/>
      <c r="H16" s="2">
        <f>2.7953162</f>
        <v>2.7953161999999998</v>
      </c>
      <c r="I16" s="2"/>
      <c r="J16" s="2">
        <f>3.9102619</f>
        <v>3.9102619000000001</v>
      </c>
      <c r="K16" s="2"/>
      <c r="L16" s="2">
        <f>6.3701987</f>
        <v>6.3701987000000004</v>
      </c>
    </row>
    <row r="17" spans="1:12" ht="17">
      <c r="A17" s="1" t="str">
        <f t="shared" si="1"/>
        <v>2020/05/05</v>
      </c>
      <c r="B17" s="1" t="str">
        <f>"13:00"</f>
        <v>13:00</v>
      </c>
      <c r="C17" s="2"/>
      <c r="D17" s="2">
        <f>0.6136582</f>
        <v>0.61365820000000004</v>
      </c>
      <c r="E17" s="2"/>
      <c r="F17" s="2">
        <f>0.8220771</f>
        <v>0.82207710000000001</v>
      </c>
      <c r="G17" s="2"/>
      <c r="H17" s="2">
        <f>2.1093519</f>
        <v>2.1093519000000001</v>
      </c>
      <c r="I17" s="2"/>
      <c r="J17" s="2">
        <f>2.84063</f>
        <v>2.84063</v>
      </c>
      <c r="K17" s="2"/>
      <c r="L17" s="2">
        <f>3.607552</f>
        <v>3.6075520000000001</v>
      </c>
    </row>
    <row r="18" spans="1:12" ht="17">
      <c r="A18" s="1" t="str">
        <f t="shared" si="1"/>
        <v>2020/05/05</v>
      </c>
      <c r="B18" s="1" t="str">
        <f>"14:00"</f>
        <v>14:00</v>
      </c>
      <c r="C18" s="2"/>
      <c r="D18" s="2">
        <f>0.29470727</f>
        <v>0.29470727000000002</v>
      </c>
      <c r="E18" s="2"/>
      <c r="F18" s="2">
        <f>0.7789963</f>
        <v>0.77899629999999997</v>
      </c>
      <c r="G18" s="2"/>
      <c r="H18" s="2">
        <f>1.4245442</f>
        <v>1.4245441999999999</v>
      </c>
      <c r="I18" s="2"/>
      <c r="J18" s="2">
        <f>2.6961944</f>
        <v>2.6961944</v>
      </c>
      <c r="K18" s="2"/>
      <c r="L18" s="2">
        <f>2.8283007</f>
        <v>2.8283006999999998</v>
      </c>
    </row>
    <row r="19" spans="1:12" ht="17">
      <c r="A19" s="1" t="str">
        <f t="shared" si="1"/>
        <v>2020/05/05</v>
      </c>
      <c r="B19" s="1" t="str">
        <f>"15:00"</f>
        <v>15:00</v>
      </c>
      <c r="C19" s="2"/>
      <c r="D19" s="2">
        <f>0.20655912</f>
        <v>0.20655912000000001</v>
      </c>
      <c r="E19" s="2"/>
      <c r="F19" s="2">
        <f>0.59576494</f>
        <v>0.59576494000000002</v>
      </c>
      <c r="G19" s="2"/>
      <c r="H19" s="2">
        <f>0.8709351</f>
        <v>0.87093509999999996</v>
      </c>
      <c r="I19" s="2"/>
      <c r="J19" s="2">
        <f>1.7855113</f>
        <v>1.7855113</v>
      </c>
      <c r="K19" s="2"/>
      <c r="L19" s="2">
        <f>2.4296143</f>
        <v>2.4296142999999999</v>
      </c>
    </row>
    <row r="20" spans="1:12" ht="17">
      <c r="A20" s="1" t="str">
        <f t="shared" si="1"/>
        <v>2020/05/05</v>
      </c>
      <c r="B20" s="1" t="str">
        <f>"16:00"</f>
        <v>16:00</v>
      </c>
      <c r="C20" s="2"/>
      <c r="D20" s="2">
        <f>0.16259825</f>
        <v>0.16259825</v>
      </c>
      <c r="E20" s="2"/>
      <c r="F20" s="2">
        <f>0.5332529</f>
        <v>0.53325290000000003</v>
      </c>
      <c r="G20" s="2"/>
      <c r="H20" s="2">
        <f>0.72555345</f>
        <v>0.72555345000000004</v>
      </c>
      <c r="I20" s="2"/>
      <c r="J20" s="2">
        <f>1.6698241</f>
        <v>1.6698241</v>
      </c>
      <c r="K20" s="2"/>
      <c r="L20" s="2">
        <f>2.4333153</f>
        <v>2.4333152999999998</v>
      </c>
    </row>
    <row r="21" spans="1:12" ht="17">
      <c r="A21" s="1" t="str">
        <f t="shared" si="1"/>
        <v>2020/05/05</v>
      </c>
      <c r="B21" s="1" t="str">
        <f>"17:00"</f>
        <v>17:00</v>
      </c>
      <c r="C21" s="2"/>
      <c r="D21" s="2">
        <f>0.22346446</f>
        <v>0.22346446</v>
      </c>
      <c r="E21" s="2"/>
      <c r="F21" s="2">
        <f>0.45337528</f>
        <v>0.45337527999999999</v>
      </c>
      <c r="G21" s="2"/>
      <c r="H21" s="2">
        <f>0.9206502</f>
        <v>0.92065019999999997</v>
      </c>
      <c r="I21" s="2"/>
      <c r="J21" s="2">
        <f>2.1732905</f>
        <v>2.1732904999999998</v>
      </c>
      <c r="K21" s="2"/>
      <c r="L21" s="2">
        <f>2.3649998</f>
        <v>2.3649998000000001</v>
      </c>
    </row>
    <row r="22" spans="1:12" ht="17">
      <c r="A22" s="1" t="str">
        <f t="shared" si="1"/>
        <v>2020/05/05</v>
      </c>
      <c r="B22" s="1" t="str">
        <f>"18:00"</f>
        <v>18:00</v>
      </c>
      <c r="C22" s="2"/>
      <c r="D22" s="2">
        <f>0.14127518</f>
        <v>0.14127518</v>
      </c>
      <c r="E22" s="2"/>
      <c r="F22" s="2">
        <f>0.6150374</f>
        <v>0.61503739999999996</v>
      </c>
      <c r="G22" s="2"/>
      <c r="H22" s="2">
        <f>1.2305965</f>
        <v>1.2305965000000001</v>
      </c>
      <c r="I22" s="2"/>
      <c r="J22" s="2">
        <f>2.4459178</f>
        <v>2.4459178000000001</v>
      </c>
      <c r="K22" s="2"/>
      <c r="L22" s="2">
        <f>2.5579402</f>
        <v>2.5579402</v>
      </c>
    </row>
    <row r="23" spans="1:12" ht="17">
      <c r="A23" s="1" t="str">
        <f t="shared" si="1"/>
        <v>2020/05/05</v>
      </c>
      <c r="B23" s="1" t="str">
        <f>"19:00"</f>
        <v>19:00</v>
      </c>
      <c r="C23" s="2"/>
      <c r="D23" s="2">
        <f>0.51513124</f>
        <v>0.51513123999999999</v>
      </c>
      <c r="E23" s="2"/>
      <c r="F23" s="2">
        <f>0.71859455</f>
        <v>0.71859455000000005</v>
      </c>
      <c r="G23" s="2"/>
      <c r="H23" s="2">
        <f>1.8105141</f>
        <v>1.8105141</v>
      </c>
      <c r="I23" s="2"/>
      <c r="J23" s="2">
        <f>2.3076715</f>
        <v>2.3076715000000001</v>
      </c>
      <c r="K23" s="2"/>
      <c r="L23" s="2">
        <f>2.4614334</f>
        <v>2.4614334000000002</v>
      </c>
    </row>
    <row r="24" spans="1:12" ht="17">
      <c r="A24" s="1" t="str">
        <f t="shared" si="1"/>
        <v>2020/05/05</v>
      </c>
      <c r="B24" s="1" t="str">
        <f>"20:00"</f>
        <v>20:00</v>
      </c>
      <c r="C24" s="2"/>
      <c r="D24" s="2">
        <f>0.6784726</f>
        <v>0.67847259999999998</v>
      </c>
      <c r="E24" s="2"/>
      <c r="F24" s="2">
        <f>0.603575</f>
        <v>0.60357499999999997</v>
      </c>
      <c r="G24" s="2"/>
      <c r="H24" s="2">
        <f>1.2477899</f>
        <v>1.2477898999999999</v>
      </c>
      <c r="I24" s="2"/>
      <c r="J24" s="2">
        <f>2.317483</f>
        <v>2.3174830000000002</v>
      </c>
      <c r="K24" s="2"/>
      <c r="L24" s="2">
        <f>4.4413867</f>
        <v>4.4413866999999998</v>
      </c>
    </row>
    <row r="25" spans="1:12" ht="17">
      <c r="A25" s="1" t="str">
        <f t="shared" si="1"/>
        <v>2020/05/05</v>
      </c>
      <c r="B25" s="1" t="str">
        <f>"21:00"</f>
        <v>21:00</v>
      </c>
      <c r="C25" s="2"/>
      <c r="D25" s="2">
        <f>1.0191284</f>
        <v>1.0191284</v>
      </c>
      <c r="E25" s="2"/>
      <c r="F25" s="2">
        <f>1.9981707</f>
        <v>1.9981707</v>
      </c>
      <c r="G25" s="2"/>
      <c r="H25" s="2">
        <f>7.2832966</f>
        <v>7.2832965999999999</v>
      </c>
      <c r="I25" s="2"/>
      <c r="J25" s="2">
        <f>7.0910406</f>
        <v>7.0910406000000004</v>
      </c>
      <c r="K25" s="2"/>
      <c r="L25" s="2">
        <f>7.917517</f>
        <v>7.9175170000000001</v>
      </c>
    </row>
    <row r="26" spans="1:12" ht="17">
      <c r="A26" s="1" t="str">
        <f t="shared" si="1"/>
        <v>2020/05/05</v>
      </c>
      <c r="B26" s="1" t="str">
        <f>"22:00"</f>
        <v>22:00</v>
      </c>
      <c r="C26" s="2"/>
      <c r="D26" s="2">
        <f>0.37889203</f>
        <v>0.37889202999999999</v>
      </c>
      <c r="E26" s="2"/>
      <c r="F26" s="2">
        <f>1.3719286</f>
        <v>1.3719285999999999</v>
      </c>
      <c r="G26" s="2"/>
      <c r="H26" s="2">
        <f>4.6382403</f>
        <v>4.6382402999999996</v>
      </c>
      <c r="I26" s="2"/>
      <c r="J26" s="2">
        <f>4.84441</f>
        <v>4.8444099999999999</v>
      </c>
      <c r="K26" s="2"/>
      <c r="L26" s="2">
        <f>5.4432364</f>
        <v>5.4432364</v>
      </c>
    </row>
    <row r="27" spans="1:12" ht="17">
      <c r="A27" s="1" t="str">
        <f t="shared" si="1"/>
        <v>2020/05/05</v>
      </c>
      <c r="B27" s="1" t="str">
        <f>"23:00"</f>
        <v>23:00</v>
      </c>
      <c r="C27" s="2"/>
      <c r="D27" s="2">
        <f>0.24122396</f>
        <v>0.24122395999999999</v>
      </c>
      <c r="E27" s="2"/>
      <c r="F27" s="2">
        <f>0.5727459</f>
        <v>0.57274590000000003</v>
      </c>
      <c r="G27" s="2"/>
      <c r="H27" s="2">
        <f>1.1284089</f>
        <v>1.1284088999999999</v>
      </c>
      <c r="I27" s="2"/>
      <c r="J27" s="2">
        <f>2.281051</f>
        <v>2.2810510000000002</v>
      </c>
      <c r="K27" s="2"/>
      <c r="L27" s="2">
        <f>2.2128627</f>
        <v>2.2128627000000001</v>
      </c>
    </row>
    <row r="28" spans="1:12" ht="17">
      <c r="A28" s="1" t="str">
        <f t="shared" si="1"/>
        <v>2020/05/05</v>
      </c>
      <c r="B28" s="1" t="str">
        <f>"24:00"</f>
        <v>24:00</v>
      </c>
      <c r="C28" s="2"/>
      <c r="D28" s="2">
        <f>0.29668033</f>
        <v>0.29668032999999999</v>
      </c>
      <c r="E28" s="2"/>
      <c r="F28" s="2">
        <f>0.48585668</f>
        <v>0.48585667999999999</v>
      </c>
      <c r="G28" s="2"/>
      <c r="H28" s="2">
        <f>0.70135313</f>
        <v>0.70135312999999999</v>
      </c>
      <c r="I28" s="2"/>
      <c r="J28" s="2">
        <f>1.7209058</f>
        <v>1.7209057999999999</v>
      </c>
      <c r="K28" s="2"/>
      <c r="L28" s="2">
        <f>2.7007494</f>
        <v>2.7007493999999999</v>
      </c>
    </row>
    <row r="29" spans="1:12" ht="17">
      <c r="A29" s="1" t="str">
        <f t="shared" ref="A29:A52" si="2">"2020/05/06"</f>
        <v>2020/05/06</v>
      </c>
      <c r="B29" s="1" t="str">
        <f>"01:00"</f>
        <v>01:00</v>
      </c>
      <c r="C29" s="2">
        <f>0.3389784</f>
        <v>0.33897840000000001</v>
      </c>
      <c r="D29" s="2">
        <f>0.17623815</f>
        <v>0.17623815000000001</v>
      </c>
      <c r="E29" s="2">
        <f>1.0070202</f>
        <v>1.0070201999999999</v>
      </c>
      <c r="F29" s="2">
        <f>0.5352427</f>
        <v>0.53524269999999996</v>
      </c>
      <c r="G29" s="2">
        <f>3.0434554</f>
        <v>3.0434554</v>
      </c>
      <c r="H29" s="2">
        <f>1.4610223</f>
        <v>1.4610223</v>
      </c>
      <c r="I29" s="2">
        <f>3.5975564</f>
        <v>3.5975564000000002</v>
      </c>
      <c r="J29" s="2">
        <f>2.0555267</f>
        <v>2.0555267000000002</v>
      </c>
      <c r="K29" s="2">
        <f>3.886614</f>
        <v>3.8866139999999998</v>
      </c>
      <c r="L29" s="2">
        <f>2.6712956</f>
        <v>2.6712956000000001</v>
      </c>
    </row>
    <row r="30" spans="1:12" ht="17">
      <c r="A30" s="1" t="str">
        <f t="shared" si="2"/>
        <v>2020/05/06</v>
      </c>
      <c r="B30" s="1" t="str">
        <f>"02:00"</f>
        <v>02:00</v>
      </c>
      <c r="C30" s="2"/>
      <c r="D30" s="2">
        <f>0.15819275</f>
        <v>0.15819274999999999</v>
      </c>
      <c r="E30" s="2"/>
      <c r="F30" s="2">
        <f>0.60158664</f>
        <v>0.60158663999999995</v>
      </c>
      <c r="G30" s="2"/>
      <c r="H30" s="2">
        <f>1.7605653</f>
        <v>1.7605653000000001</v>
      </c>
      <c r="I30" s="2"/>
      <c r="J30" s="2">
        <f>2.3786588</f>
        <v>2.3786588000000002</v>
      </c>
      <c r="K30" s="2"/>
      <c r="L30" s="2">
        <f>3.0002487</f>
        <v>3.0002487000000002</v>
      </c>
    </row>
    <row r="31" spans="1:12" ht="17">
      <c r="A31" s="1" t="str">
        <f t="shared" si="2"/>
        <v>2020/05/06</v>
      </c>
      <c r="B31" s="1" t="str">
        <f>"03:00"</f>
        <v>03:00</v>
      </c>
      <c r="C31" s="2"/>
      <c r="D31" s="2">
        <f>0.33242252</f>
        <v>0.33242252</v>
      </c>
      <c r="E31" s="2"/>
      <c r="F31" s="2">
        <f>0.64115936</f>
        <v>0.64115935999999996</v>
      </c>
      <c r="G31" s="2"/>
      <c r="H31" s="2">
        <f>1.523998</f>
        <v>1.523998</v>
      </c>
      <c r="I31" s="2"/>
      <c r="J31" s="2">
        <f>2.3867958</f>
        <v>2.3867957999999998</v>
      </c>
      <c r="K31" s="2"/>
      <c r="L31" s="2">
        <f>2.6459959</f>
        <v>2.6459959</v>
      </c>
    </row>
    <row r="32" spans="1:12" ht="17">
      <c r="A32" s="1" t="str">
        <f t="shared" si="2"/>
        <v>2020/05/06</v>
      </c>
      <c r="B32" s="1" t="str">
        <f>"04:00"</f>
        <v>04:00</v>
      </c>
      <c r="C32" s="2"/>
      <c r="D32" s="2">
        <f>0.27738032</f>
        <v>0.27738032000000001</v>
      </c>
      <c r="E32" s="2"/>
      <c r="F32" s="2">
        <f>1.2098476</f>
        <v>1.2098476</v>
      </c>
      <c r="G32" s="2"/>
      <c r="H32" s="2">
        <f>3.9806445</f>
        <v>3.9806444999999999</v>
      </c>
      <c r="I32" s="2"/>
      <c r="J32" s="2">
        <f>4.3307524</f>
        <v>4.3307523999999997</v>
      </c>
      <c r="K32" s="2"/>
      <c r="L32" s="2">
        <f>4.8334684</f>
        <v>4.8334684000000001</v>
      </c>
    </row>
    <row r="33" spans="1:12" ht="17">
      <c r="A33" s="1" t="str">
        <f t="shared" si="2"/>
        <v>2020/05/06</v>
      </c>
      <c r="B33" s="1" t="str">
        <f>"05:00"</f>
        <v>05:00</v>
      </c>
      <c r="C33" s="2"/>
      <c r="D33" s="2">
        <f>0.8767601</f>
        <v>0.87676010000000004</v>
      </c>
      <c r="E33" s="2"/>
      <c r="F33" s="2">
        <f>3.9660857</f>
        <v>3.9660856999999998</v>
      </c>
      <c r="G33" s="2"/>
      <c r="H33" s="2">
        <f>16.616125</f>
        <v>16.616125</v>
      </c>
      <c r="I33" s="2"/>
      <c r="J33" s="2">
        <f>14.4879</f>
        <v>14.4879</v>
      </c>
      <c r="K33" s="2"/>
      <c r="L33" s="2">
        <f>12.422437</f>
        <v>12.422437</v>
      </c>
    </row>
    <row r="34" spans="1:12" ht="17">
      <c r="A34" s="1" t="str">
        <f t="shared" si="2"/>
        <v>2020/05/06</v>
      </c>
      <c r="B34" s="1" t="str">
        <f>"06:00"</f>
        <v>06:00</v>
      </c>
      <c r="C34" s="2"/>
      <c r="D34" s="2">
        <f>0.59297425</f>
        <v>0.59297425000000004</v>
      </c>
      <c r="E34" s="2"/>
      <c r="F34" s="2">
        <f>3.2251344</f>
        <v>3.2251344</v>
      </c>
      <c r="G34" s="2"/>
      <c r="H34" s="2">
        <f>13.677417</f>
        <v>13.677417</v>
      </c>
      <c r="I34" s="2"/>
      <c r="J34" s="2">
        <f>12.574707</f>
        <v>12.574707</v>
      </c>
      <c r="K34" s="2"/>
      <c r="L34" s="2">
        <f>11.115111</f>
        <v>11.115111000000001</v>
      </c>
    </row>
    <row r="35" spans="1:12" ht="17">
      <c r="A35" s="1" t="str">
        <f t="shared" si="2"/>
        <v>2020/05/06</v>
      </c>
      <c r="B35" s="1" t="str">
        <f>"07:00"</f>
        <v>07:00</v>
      </c>
      <c r="C35" s="2"/>
      <c r="D35" s="2">
        <f>1.0258913</f>
        <v>1.0258913000000001</v>
      </c>
      <c r="E35" s="2"/>
      <c r="F35" s="2">
        <f>1.5659316</f>
        <v>1.5659316000000001</v>
      </c>
      <c r="G35" s="2"/>
      <c r="H35" s="2">
        <f>6.3688188</f>
        <v>6.3688187999999997</v>
      </c>
      <c r="I35" s="2"/>
      <c r="J35" s="2">
        <f>5.7834997</f>
        <v>5.7834997000000001</v>
      </c>
      <c r="K35" s="2"/>
      <c r="L35" s="2">
        <f>6.1571164</f>
        <v>6.1571163999999996</v>
      </c>
    </row>
    <row r="36" spans="1:12" ht="17">
      <c r="A36" s="1" t="str">
        <f t="shared" si="2"/>
        <v>2020/05/06</v>
      </c>
      <c r="B36" s="1" t="str">
        <f>"08:00"</f>
        <v>08:00</v>
      </c>
      <c r="C36" s="2"/>
      <c r="D36" s="2">
        <f>0.32063192</f>
        <v>0.32063192000000001</v>
      </c>
      <c r="E36" s="2"/>
      <c r="F36" s="2">
        <f>1.4301142</f>
        <v>1.4301142</v>
      </c>
      <c r="G36" s="2"/>
      <c r="H36" s="2">
        <f>5.116585</f>
        <v>5.1165849999999997</v>
      </c>
      <c r="I36" s="2"/>
      <c r="J36" s="2">
        <f>5.0309315</f>
        <v>5.0309315000000003</v>
      </c>
      <c r="K36" s="2"/>
      <c r="L36" s="2">
        <f>5.5634575</f>
        <v>5.5634575000000002</v>
      </c>
    </row>
    <row r="37" spans="1:12" ht="17">
      <c r="A37" s="1" t="str">
        <f t="shared" si="2"/>
        <v>2020/05/06</v>
      </c>
      <c r="B37" s="1" t="str">
        <f>"09:00"</f>
        <v>09:00</v>
      </c>
      <c r="C37" s="2"/>
      <c r="D37" s="2">
        <f>0.37431455</f>
        <v>0.37431455000000002</v>
      </c>
      <c r="E37" s="2"/>
      <c r="F37" s="2">
        <f>2.0636954</f>
        <v>2.0636953999999998</v>
      </c>
      <c r="G37" s="2"/>
      <c r="H37" s="2">
        <f>7.1156254</f>
        <v>7.1156253999999999</v>
      </c>
      <c r="I37" s="2"/>
      <c r="J37" s="2">
        <f>7.064671</f>
        <v>7.0646709999999997</v>
      </c>
      <c r="K37" s="2"/>
      <c r="L37" s="2">
        <f>7.6359</f>
        <v>7.6359000000000004</v>
      </c>
    </row>
    <row r="38" spans="1:12" ht="17">
      <c r="A38" s="1" t="str">
        <f t="shared" si="2"/>
        <v>2020/05/06</v>
      </c>
      <c r="B38" s="1" t="str">
        <f>"10:00"</f>
        <v>10:00</v>
      </c>
      <c r="C38" s="2"/>
      <c r="D38" s="2">
        <f>0.667645</f>
        <v>0.66764500000000004</v>
      </c>
      <c r="E38" s="2"/>
      <c r="F38" s="2">
        <f>1.3970611</f>
        <v>1.3970610999999999</v>
      </c>
      <c r="G38" s="2"/>
      <c r="H38" s="2">
        <f>3.9833024</f>
        <v>3.9833023999999999</v>
      </c>
      <c r="I38" s="2"/>
      <c r="J38" s="2">
        <f>5.490425</f>
        <v>5.4904250000000001</v>
      </c>
      <c r="K38" s="2"/>
      <c r="L38" s="2">
        <f>5.9940352</f>
        <v>5.9940351999999999</v>
      </c>
    </row>
    <row r="39" spans="1:12" ht="17">
      <c r="A39" s="1" t="str">
        <f t="shared" si="2"/>
        <v>2020/05/06</v>
      </c>
      <c r="B39" s="1" t="str">
        <f>"11:00"</f>
        <v>11:00</v>
      </c>
      <c r="C39" s="2"/>
      <c r="D39" s="2">
        <f>0.5137101</f>
        <v>0.51371009999999995</v>
      </c>
      <c r="E39" s="2"/>
      <c r="F39" s="2">
        <f>0.93781644</f>
        <v>0.93781643999999997</v>
      </c>
      <c r="G39" s="2"/>
      <c r="H39" s="2">
        <f>1.7918607</f>
        <v>1.7918607</v>
      </c>
      <c r="I39" s="2"/>
      <c r="J39" s="2">
        <f>3.6799407</f>
        <v>3.6799407</v>
      </c>
      <c r="K39" s="2"/>
      <c r="L39" s="2">
        <f>4.166004</f>
        <v>4.166004</v>
      </c>
    </row>
    <row r="40" spans="1:12" ht="17">
      <c r="A40" s="1" t="str">
        <f t="shared" si="2"/>
        <v>2020/05/06</v>
      </c>
      <c r="B40" s="1" t="str">
        <f>"12:00"</f>
        <v>12:00</v>
      </c>
      <c r="C40" s="2"/>
      <c r="D40" s="2">
        <f>0.2552668</f>
        <v>0.25526680000000002</v>
      </c>
      <c r="E40" s="2"/>
      <c r="F40" s="2">
        <f>0.80696255</f>
        <v>0.80696254999999995</v>
      </c>
      <c r="G40" s="2"/>
      <c r="H40" s="2">
        <f>2.0542188</f>
        <v>2.0542188000000001</v>
      </c>
      <c r="I40" s="2"/>
      <c r="J40" s="2">
        <f>3.0093973</f>
        <v>3.0093972999999998</v>
      </c>
      <c r="K40" s="2"/>
      <c r="L40" s="2">
        <f>3.3074677</f>
        <v>3.3074677000000001</v>
      </c>
    </row>
    <row r="41" spans="1:12" ht="17">
      <c r="A41" s="1" t="str">
        <f t="shared" si="2"/>
        <v>2020/05/06</v>
      </c>
      <c r="B41" s="1" t="str">
        <f>"13:00"</f>
        <v>13:00</v>
      </c>
      <c r="C41" s="2"/>
      <c r="D41" s="2">
        <f>0.12854522</f>
        <v>0.12854521999999999</v>
      </c>
      <c r="E41" s="2"/>
      <c r="F41" s="2">
        <f>0.557814</f>
        <v>0.55781400000000003</v>
      </c>
      <c r="G41" s="2"/>
      <c r="H41" s="2">
        <f>0.9907813</f>
        <v>0.99078129999999998</v>
      </c>
      <c r="I41" s="2"/>
      <c r="J41" s="2">
        <f>2.032792</f>
        <v>2.0327920000000002</v>
      </c>
      <c r="K41" s="2"/>
      <c r="L41" s="2">
        <f>2.3046482</f>
        <v>2.3046481999999999</v>
      </c>
    </row>
    <row r="42" spans="1:12" ht="17">
      <c r="A42" s="1" t="str">
        <f t="shared" si="2"/>
        <v>2020/05/06</v>
      </c>
      <c r="B42" s="1" t="str">
        <f>"14:00"</f>
        <v>14:00</v>
      </c>
      <c r="C42" s="2"/>
      <c r="D42" s="2">
        <f>0.23930843</f>
        <v>0.23930842999999999</v>
      </c>
      <c r="E42" s="2"/>
      <c r="F42" s="2">
        <f>0.4893153</f>
        <v>0.48931530000000001</v>
      </c>
      <c r="G42" s="2"/>
      <c r="H42" s="2">
        <f>0.64155895</f>
        <v>0.64155894999999996</v>
      </c>
      <c r="I42" s="2"/>
      <c r="J42" s="2">
        <f>1.7801031</f>
        <v>1.7801031</v>
      </c>
      <c r="K42" s="2"/>
      <c r="L42" s="2">
        <f>2.3328805</f>
        <v>2.3328804999999999</v>
      </c>
    </row>
    <row r="43" spans="1:12" ht="17">
      <c r="A43" s="1" t="str">
        <f t="shared" si="2"/>
        <v>2020/05/06</v>
      </c>
      <c r="B43" s="1" t="str">
        <f>"15:00"</f>
        <v>15:00</v>
      </c>
      <c r="C43" s="2"/>
      <c r="D43" s="2">
        <f>0.10178302</f>
        <v>0.10178302</v>
      </c>
      <c r="E43" s="2"/>
      <c r="F43" s="2">
        <f>0.36967453</f>
        <v>0.36967453</v>
      </c>
      <c r="G43" s="2"/>
      <c r="H43" s="2">
        <f>0.4522434</f>
        <v>0.45224340000000002</v>
      </c>
      <c r="I43" s="2"/>
      <c r="J43" s="2">
        <f>1.458634</f>
        <v>1.458634</v>
      </c>
      <c r="K43" s="2"/>
      <c r="L43" s="2">
        <f>1.8914161</f>
        <v>1.8914161</v>
      </c>
    </row>
    <row r="44" spans="1:12" ht="17">
      <c r="A44" s="1" t="str">
        <f t="shared" si="2"/>
        <v>2020/05/06</v>
      </c>
      <c r="B44" s="1" t="str">
        <f>"16:00"</f>
        <v>16:00</v>
      </c>
      <c r="C44" s="2"/>
      <c r="D44" s="2">
        <f>0.06469963</f>
        <v>6.4699629999999994E-2</v>
      </c>
      <c r="E44" s="2"/>
      <c r="F44" s="2">
        <f>0.50261503</f>
        <v>0.50261502999999996</v>
      </c>
      <c r="G44" s="2"/>
      <c r="H44" s="2">
        <f>0.7871162</f>
        <v>0.78711620000000004</v>
      </c>
      <c r="I44" s="2"/>
      <c r="J44" s="2">
        <f>1.6506988</f>
        <v>1.6506988</v>
      </c>
      <c r="K44" s="2"/>
      <c r="L44" s="2">
        <f>2.146744</f>
        <v>2.146744</v>
      </c>
    </row>
    <row r="45" spans="1:12" ht="17">
      <c r="A45" s="1" t="str">
        <f t="shared" si="2"/>
        <v>2020/05/06</v>
      </c>
      <c r="B45" s="1" t="str">
        <f>"17:00"</f>
        <v>17:00</v>
      </c>
      <c r="C45" s="2"/>
      <c r="D45" s="2">
        <f>0.15229338</f>
        <v>0.15229338000000001</v>
      </c>
      <c r="E45" s="2"/>
      <c r="F45" s="2">
        <f>0.36500916</f>
        <v>0.36500916</v>
      </c>
      <c r="G45" s="2"/>
      <c r="H45" s="2">
        <f>0.57172483</f>
        <v>0.57172482999999996</v>
      </c>
      <c r="I45" s="2"/>
      <c r="J45" s="2">
        <f>1.5936104</f>
        <v>1.5936104</v>
      </c>
      <c r="K45" s="2"/>
      <c r="L45" s="2">
        <f>1.4629749</f>
        <v>1.4629749000000001</v>
      </c>
    </row>
    <row r="46" spans="1:12" ht="17">
      <c r="A46" s="1" t="str">
        <f t="shared" si="2"/>
        <v>2020/05/06</v>
      </c>
      <c r="B46" s="1" t="str">
        <f>"18:00"</f>
        <v>18:00</v>
      </c>
      <c r="C46" s="2"/>
      <c r="D46" s="2">
        <f>0.10176513</f>
        <v>0.10176513</v>
      </c>
      <c r="E46" s="2"/>
      <c r="F46" s="2">
        <f>1.3506477</f>
        <v>1.3506476999999999</v>
      </c>
      <c r="G46" s="2"/>
      <c r="H46" s="2">
        <f>0.3848046</f>
        <v>0.3848046</v>
      </c>
      <c r="I46" s="2"/>
      <c r="J46" s="2">
        <f>0.7953627</f>
        <v>0.79536269999999998</v>
      </c>
      <c r="K46" s="2"/>
      <c r="L46" s="2">
        <f>1.9758598</f>
        <v>1.9758598000000001</v>
      </c>
    </row>
    <row r="47" spans="1:12" ht="17">
      <c r="A47" s="1" t="str">
        <f t="shared" si="2"/>
        <v>2020/05/06</v>
      </c>
      <c r="B47" s="1" t="str">
        <f>"19:00"</f>
        <v>19:00</v>
      </c>
      <c r="C47" s="2"/>
      <c r="D47" s="2">
        <f>0.10414098</f>
        <v>0.10414097999999999</v>
      </c>
      <c r="E47" s="2"/>
      <c r="F47" s="2">
        <f>0.43837017</f>
        <v>0.43837017</v>
      </c>
      <c r="G47" s="2"/>
      <c r="H47" s="2">
        <f>0.807191</f>
        <v>0.80719099999999999</v>
      </c>
      <c r="I47" s="2"/>
      <c r="J47" s="2">
        <f>1.6478775</f>
        <v>1.6478775000000001</v>
      </c>
      <c r="K47" s="2"/>
      <c r="L47" s="2">
        <f>2.5159895</f>
        <v>2.5159894999999999</v>
      </c>
    </row>
    <row r="48" spans="1:12" ht="17">
      <c r="A48" s="1" t="str">
        <f t="shared" si="2"/>
        <v>2020/05/06</v>
      </c>
      <c r="B48" s="1" t="str">
        <f>"20:00"</f>
        <v>20:00</v>
      </c>
      <c r="C48" s="2"/>
      <c r="D48" s="2">
        <f>0.3091923</f>
        <v>0.30919229999999998</v>
      </c>
      <c r="E48" s="2"/>
      <c r="F48" s="2">
        <f>0.34203723</f>
        <v>0.34203723000000003</v>
      </c>
      <c r="G48" s="2"/>
      <c r="H48" s="2">
        <f>0.6658304</f>
        <v>0.66583040000000004</v>
      </c>
      <c r="I48" s="2"/>
      <c r="J48" s="2">
        <f>1.508548</f>
        <v>1.508548</v>
      </c>
      <c r="K48" s="2"/>
      <c r="L48" s="2">
        <f>1.5314872</f>
        <v>1.5314871999999999</v>
      </c>
    </row>
    <row r="49" spans="1:12" ht="17">
      <c r="A49" s="1" t="str">
        <f t="shared" si="2"/>
        <v>2020/05/06</v>
      </c>
      <c r="B49" s="1" t="str">
        <f>"21:00"</f>
        <v>21:00</v>
      </c>
      <c r="C49" s="2"/>
      <c r="D49" s="2">
        <f>0.3593947</f>
        <v>0.35939470000000001</v>
      </c>
      <c r="E49" s="2"/>
      <c r="F49" s="2">
        <f>0.34424034</f>
        <v>0.34424033999999998</v>
      </c>
      <c r="G49" s="2"/>
      <c r="H49" s="2">
        <f>0.76527274</f>
        <v>0.76527274000000001</v>
      </c>
      <c r="I49" s="2"/>
      <c r="J49" s="2">
        <f>1.6267539</f>
        <v>1.6267539</v>
      </c>
      <c r="K49" s="2"/>
      <c r="L49" s="2">
        <f>2.0801287</f>
        <v>2.0801286999999999</v>
      </c>
    </row>
    <row r="50" spans="1:12" ht="17">
      <c r="A50" s="1" t="str">
        <f t="shared" si="2"/>
        <v>2020/05/06</v>
      </c>
      <c r="B50" s="1" t="str">
        <f>"22:00"</f>
        <v>22:00</v>
      </c>
      <c r="C50" s="2"/>
      <c r="D50" s="2">
        <f>0.28980532</f>
        <v>0.28980531999999998</v>
      </c>
      <c r="E50" s="2"/>
      <c r="F50" s="2">
        <f>0.33911777</f>
        <v>0.33911776999999999</v>
      </c>
      <c r="G50" s="2"/>
      <c r="H50" s="2">
        <f>0.47264957</f>
        <v>0.47264957000000002</v>
      </c>
      <c r="I50" s="2"/>
      <c r="J50" s="2">
        <f>1.3139805</f>
        <v>1.3139805</v>
      </c>
      <c r="K50" s="2"/>
      <c r="L50" s="2">
        <f>1.3677158</f>
        <v>1.3677158</v>
      </c>
    </row>
    <row r="51" spans="1:12" ht="17">
      <c r="A51" s="1" t="str">
        <f t="shared" si="2"/>
        <v>2020/05/06</v>
      </c>
      <c r="B51" s="1" t="str">
        <f>"23:00"</f>
        <v>23:00</v>
      </c>
      <c r="C51" s="2"/>
      <c r="D51" s="2">
        <f>0.29185298</f>
        <v>0.29185297999999998</v>
      </c>
      <c r="E51" s="2"/>
      <c r="F51" s="2">
        <f>0.3869073</f>
        <v>0.38690730000000001</v>
      </c>
      <c r="G51" s="2"/>
      <c r="H51" s="2">
        <f>0.3304061</f>
        <v>0.33040609999999998</v>
      </c>
      <c r="I51" s="2"/>
      <c r="J51" s="2">
        <f>1.4162639</f>
        <v>1.4162638999999999</v>
      </c>
      <c r="K51" s="2"/>
      <c r="L51" s="2">
        <f>0.9564479</f>
        <v>0.95644790000000002</v>
      </c>
    </row>
    <row r="52" spans="1:12" ht="17">
      <c r="A52" s="1" t="str">
        <f t="shared" si="2"/>
        <v>2020/05/06</v>
      </c>
      <c r="B52" s="1" t="str">
        <f>"24:00"</f>
        <v>24:00</v>
      </c>
      <c r="C52" s="2"/>
      <c r="D52" s="2">
        <f>0.42127267</f>
        <v>0.42127267000000002</v>
      </c>
      <c r="E52" s="2"/>
      <c r="F52" s="2">
        <f>0.30210084</f>
        <v>0.30210083999999998</v>
      </c>
      <c r="G52" s="2"/>
      <c r="H52" s="2">
        <f>0.7231672</f>
        <v>0.72316720000000001</v>
      </c>
      <c r="I52" s="2"/>
      <c r="J52" s="2">
        <f>1.2435242</f>
        <v>1.2435242</v>
      </c>
      <c r="K52" s="2"/>
      <c r="L52" s="2">
        <f>3.1999056</f>
        <v>3.1999056000000001</v>
      </c>
    </row>
    <row r="53" spans="1:12" ht="17">
      <c r="A53" s="1" t="str">
        <f t="shared" ref="A53:A76" si="3">"2020/05/07"</f>
        <v>2020/05/07</v>
      </c>
      <c r="B53" s="1" t="str">
        <f>"01:00"</f>
        <v>01:00</v>
      </c>
      <c r="C53" s="2">
        <f>0.22854221</f>
        <v>0.22854221</v>
      </c>
      <c r="D53" s="2">
        <f>0.36267686</f>
        <v>0.36267685999999999</v>
      </c>
      <c r="E53" s="2">
        <f>0.36813325</f>
        <v>0.36813325000000002</v>
      </c>
      <c r="F53" s="2">
        <f>0.29720238</f>
        <v>0.29720237999999999</v>
      </c>
      <c r="G53" s="2">
        <f>0.5457192</f>
        <v>0.54571919999999996</v>
      </c>
      <c r="H53" s="2">
        <f>0.7838107</f>
        <v>0.78381069999999997</v>
      </c>
      <c r="I53" s="2">
        <f>1.163297</f>
        <v>1.163297</v>
      </c>
      <c r="J53" s="2">
        <f>1.2772081</f>
        <v>1.2772081</v>
      </c>
      <c r="K53" s="2">
        <f>1.4440656</f>
        <v>1.4440656000000001</v>
      </c>
      <c r="L53" s="2">
        <f>2.0286484</f>
        <v>2.0286483999999998</v>
      </c>
    </row>
    <row r="54" spans="1:12" ht="17">
      <c r="A54" s="1" t="str">
        <f t="shared" si="3"/>
        <v>2020/05/07</v>
      </c>
      <c r="B54" s="1" t="str">
        <f>"02:00"</f>
        <v>02:00</v>
      </c>
      <c r="C54" s="2"/>
      <c r="D54" s="2">
        <f>0.31760684</f>
        <v>0.31760684</v>
      </c>
      <c r="E54" s="2"/>
      <c r="F54" s="2">
        <f>0.31533325</f>
        <v>0.31533325000000001</v>
      </c>
      <c r="G54" s="2"/>
      <c r="H54" s="2">
        <f>0.25312704</f>
        <v>0.25312704000000003</v>
      </c>
      <c r="I54" s="2"/>
      <c r="J54" s="2">
        <f>1.4262774</f>
        <v>1.4262774</v>
      </c>
      <c r="K54" s="2"/>
      <c r="L54" s="2">
        <f>1.3693228</f>
        <v>1.3693228</v>
      </c>
    </row>
    <row r="55" spans="1:12" ht="17">
      <c r="A55" s="1" t="str">
        <f t="shared" si="3"/>
        <v>2020/05/07</v>
      </c>
      <c r="B55" s="1" t="str">
        <f>"03:00"</f>
        <v>03:00</v>
      </c>
      <c r="C55" s="2"/>
      <c r="D55" s="2">
        <f>0.09030202</f>
        <v>9.0302019999999997E-2</v>
      </c>
      <c r="E55" s="2"/>
      <c r="F55" s="2">
        <f>0.3354249</f>
        <v>0.33542490000000003</v>
      </c>
      <c r="G55" s="2"/>
      <c r="H55" s="2">
        <f>0.36651817</f>
        <v>0.36651816999999998</v>
      </c>
      <c r="I55" s="2"/>
      <c r="J55" s="2">
        <f>1.3132977</f>
        <v>1.3132976999999999</v>
      </c>
      <c r="K55" s="2"/>
      <c r="L55" s="2">
        <f>1.1896263</f>
        <v>1.1896263</v>
      </c>
    </row>
    <row r="56" spans="1:12" ht="17">
      <c r="A56" s="1" t="str">
        <f t="shared" si="3"/>
        <v>2020/05/07</v>
      </c>
      <c r="B56" s="1" t="str">
        <f>"04:00"</f>
        <v>04:00</v>
      </c>
      <c r="C56" s="2"/>
      <c r="D56" s="2">
        <f>0.15033963</f>
        <v>0.15033963</v>
      </c>
      <c r="E56" s="2"/>
      <c r="F56" s="2">
        <f>0.37276834</f>
        <v>0.37276833999999998</v>
      </c>
      <c r="G56" s="2"/>
      <c r="H56" s="2">
        <f>0.63228154</f>
        <v>0.63228154000000003</v>
      </c>
      <c r="I56" s="2"/>
      <c r="J56" s="2">
        <f>1.1781466</f>
        <v>1.1781466</v>
      </c>
      <c r="K56" s="2"/>
      <c r="L56" s="2">
        <f>2.202538</f>
        <v>2.2025380000000001</v>
      </c>
    </row>
    <row r="57" spans="1:12" ht="17">
      <c r="A57" s="1" t="str">
        <f t="shared" si="3"/>
        <v>2020/05/07</v>
      </c>
      <c r="B57" s="1" t="str">
        <f>"05:00"</f>
        <v>05:00</v>
      </c>
      <c r="C57" s="2"/>
      <c r="D57" s="2">
        <f>0.22494929</f>
        <v>0.22494929</v>
      </c>
      <c r="E57" s="2"/>
      <c r="F57" s="2">
        <f>0.3820366</f>
        <v>0.3820366</v>
      </c>
      <c r="G57" s="2"/>
      <c r="H57" s="2">
        <f>0.79126674</f>
        <v>0.79126673999999997</v>
      </c>
      <c r="I57" s="2"/>
      <c r="J57" s="2">
        <f>1.106916</f>
        <v>1.106916</v>
      </c>
      <c r="K57" s="2"/>
      <c r="L57" s="2">
        <f>1.2836689</f>
        <v>1.2836688999999999</v>
      </c>
    </row>
    <row r="58" spans="1:12" ht="17">
      <c r="A58" s="1" t="str">
        <f t="shared" si="3"/>
        <v>2020/05/07</v>
      </c>
      <c r="B58" s="1" t="str">
        <f>"06:00"</f>
        <v>06:00</v>
      </c>
      <c r="C58" s="2"/>
      <c r="D58" s="2">
        <f>0.32668865</f>
        <v>0.32668865000000002</v>
      </c>
      <c r="E58" s="2"/>
      <c r="F58" s="2">
        <f>0.30385074</f>
        <v>0.30385074000000001</v>
      </c>
      <c r="G58" s="2"/>
      <c r="H58" s="2">
        <f>0.5917408</f>
        <v>0.59174079999999996</v>
      </c>
      <c r="I58" s="2"/>
      <c r="J58" s="2">
        <f>1.1490031</f>
        <v>1.1490031000000001</v>
      </c>
      <c r="K58" s="2"/>
      <c r="L58" s="2">
        <f>1.8314488</f>
        <v>1.8314488</v>
      </c>
    </row>
    <row r="59" spans="1:12" ht="17">
      <c r="A59" s="1" t="str">
        <f t="shared" si="3"/>
        <v>2020/05/07</v>
      </c>
      <c r="B59" s="1" t="str">
        <f>"07:00"</f>
        <v>07:00</v>
      </c>
      <c r="C59" s="2"/>
      <c r="D59" s="2">
        <f>0.31349647</f>
        <v>0.31349647000000003</v>
      </c>
      <c r="E59" s="2"/>
      <c r="F59" s="2">
        <f>0.37591568</f>
        <v>0.37591567999999997</v>
      </c>
      <c r="G59" s="2"/>
      <c r="H59" s="2">
        <f>0.3798591</f>
        <v>0.37985910000000001</v>
      </c>
      <c r="I59" s="2"/>
      <c r="J59" s="2">
        <f>0.9818513</f>
        <v>0.98185129999999998</v>
      </c>
      <c r="K59" s="2"/>
      <c r="L59" s="2">
        <f>1.1387861</f>
        <v>1.1387860999999999</v>
      </c>
    </row>
    <row r="60" spans="1:12" ht="17">
      <c r="A60" s="1" t="str">
        <f t="shared" si="3"/>
        <v>2020/05/07</v>
      </c>
      <c r="B60" s="1" t="str">
        <f>"08:00"</f>
        <v>08:00</v>
      </c>
      <c r="C60" s="2"/>
      <c r="D60" s="2">
        <f>0.2833089</f>
        <v>0.28330889999999997</v>
      </c>
      <c r="E60" s="2"/>
      <c r="F60" s="2">
        <f>0.2624659</f>
        <v>0.26246589999999997</v>
      </c>
      <c r="G60" s="2"/>
      <c r="H60" s="2">
        <f>0.54631156</f>
        <v>0.54631156000000003</v>
      </c>
      <c r="I60" s="2"/>
      <c r="J60" s="2">
        <f>1.2652584</f>
        <v>1.2652584</v>
      </c>
      <c r="K60" s="2"/>
      <c r="L60" s="2">
        <f>1.2097394</f>
        <v>1.2097393999999999</v>
      </c>
    </row>
    <row r="61" spans="1:12" ht="17">
      <c r="A61" s="1" t="str">
        <f t="shared" si="3"/>
        <v>2020/05/07</v>
      </c>
      <c r="B61" s="1" t="str">
        <f>"09:00"</f>
        <v>09:00</v>
      </c>
      <c r="C61" s="2"/>
      <c r="D61" s="2">
        <f>0.43500254</f>
        <v>0.43500253999999999</v>
      </c>
      <c r="E61" s="2"/>
      <c r="F61" s="2">
        <f>0.3737104</f>
        <v>0.3737104</v>
      </c>
      <c r="G61" s="2"/>
      <c r="H61" s="2">
        <f>0.7509743</f>
        <v>0.75097429999999998</v>
      </c>
      <c r="I61" s="2"/>
      <c r="J61" s="2">
        <f>1.2274857</f>
        <v>1.2274856999999999</v>
      </c>
      <c r="K61" s="2"/>
      <c r="L61" s="2">
        <f>2.302509</f>
        <v>2.3025090000000001</v>
      </c>
    </row>
    <row r="62" spans="1:12" ht="17">
      <c r="A62" s="1" t="str">
        <f t="shared" si="3"/>
        <v>2020/05/07</v>
      </c>
      <c r="B62" s="1" t="str">
        <f>"10:00"</f>
        <v>10:00</v>
      </c>
      <c r="C62" s="2"/>
      <c r="D62" s="2">
        <f>0.23765168</f>
        <v>0.23765168</v>
      </c>
      <c r="E62" s="2"/>
      <c r="F62" s="2">
        <f>0.31876943</f>
        <v>0.31876943000000002</v>
      </c>
      <c r="G62" s="2"/>
      <c r="H62" s="2">
        <f>0.47730425</f>
        <v>0.47730424999999999</v>
      </c>
      <c r="I62" s="2"/>
      <c r="J62" s="2">
        <f>1.057013</f>
        <v>1.057013</v>
      </c>
      <c r="K62" s="2"/>
      <c r="L62" s="2">
        <f>1.1686108</f>
        <v>1.1686107999999999</v>
      </c>
    </row>
    <row r="63" spans="1:12" ht="17">
      <c r="A63" s="1" t="str">
        <f t="shared" si="3"/>
        <v>2020/05/07</v>
      </c>
      <c r="B63" s="1" t="str">
        <f>"11:00"</f>
        <v>11:00</v>
      </c>
      <c r="C63" s="2"/>
      <c r="D63" s="2">
        <f>0.23633924</f>
        <v>0.23633924000000001</v>
      </c>
      <c r="E63" s="2"/>
      <c r="F63" s="2">
        <f>0.33947036</f>
        <v>0.33947036000000003</v>
      </c>
      <c r="G63" s="2"/>
      <c r="H63" s="2">
        <f>0.6234024</f>
        <v>0.62340240000000002</v>
      </c>
      <c r="I63" s="2"/>
      <c r="J63" s="2">
        <f>1.38924</f>
        <v>1.38924</v>
      </c>
      <c r="K63" s="2"/>
      <c r="L63" s="2">
        <f>1.1731241</f>
        <v>1.1731240999999999</v>
      </c>
    </row>
    <row r="64" spans="1:12" ht="17">
      <c r="A64" s="1" t="str">
        <f t="shared" si="3"/>
        <v>2020/05/07</v>
      </c>
      <c r="B64" s="1" t="str">
        <f>"12:00"</f>
        <v>12:00</v>
      </c>
      <c r="C64" s="2"/>
      <c r="D64" s="2">
        <f>0.14364983</f>
        <v>0.14364983000000001</v>
      </c>
      <c r="E64" s="2"/>
      <c r="F64" s="2">
        <f>0.33368266</f>
        <v>0.33368266000000002</v>
      </c>
      <c r="G64" s="2"/>
      <c r="H64" s="2">
        <f>0.8480976</f>
        <v>0.84809760000000001</v>
      </c>
      <c r="I64" s="2"/>
      <c r="J64" s="2">
        <f>1.354924</f>
        <v>1.354924</v>
      </c>
      <c r="K64" s="2"/>
      <c r="L64" s="2">
        <f>2.1306212</f>
        <v>2.1306212000000002</v>
      </c>
    </row>
    <row r="65" spans="1:12" ht="17">
      <c r="A65" s="1" t="str">
        <f t="shared" si="3"/>
        <v>2020/05/07</v>
      </c>
      <c r="B65" s="1" t="str">
        <f>"13:00"</f>
        <v>13:00</v>
      </c>
      <c r="C65" s="2"/>
      <c r="D65" s="2">
        <f>0.1948813</f>
        <v>0.19488130000000001</v>
      </c>
      <c r="E65" s="2"/>
      <c r="F65" s="2">
        <f>0.72994435</f>
        <v>0.72994435000000002</v>
      </c>
      <c r="G65" s="2"/>
      <c r="H65" s="2">
        <f>0.51538706</f>
        <v>0.51538706000000001</v>
      </c>
      <c r="I65" s="2"/>
      <c r="J65" s="2">
        <f>0.95823264</f>
        <v>0.95823263999999997</v>
      </c>
      <c r="K65" s="2"/>
      <c r="L65" s="2">
        <f>0.7175641</f>
        <v>0.71756410000000004</v>
      </c>
    </row>
    <row r="66" spans="1:12" ht="17">
      <c r="A66" s="1" t="str">
        <f t="shared" si="3"/>
        <v>2020/05/07</v>
      </c>
      <c r="B66" s="1" t="str">
        <f>"14:00"</f>
        <v>14:00</v>
      </c>
      <c r="C66" s="2"/>
      <c r="D66" s="2">
        <f>0.1954879</f>
        <v>0.19548789999999999</v>
      </c>
      <c r="E66" s="2"/>
      <c r="F66" s="2">
        <f>0.44622874</f>
        <v>0.44622874000000001</v>
      </c>
      <c r="G66" s="2"/>
      <c r="H66" s="2">
        <f>0.33387676</f>
        <v>0.33387675999999999</v>
      </c>
      <c r="I66" s="2"/>
      <c r="J66" s="2">
        <f>1.381446</f>
        <v>1.381446</v>
      </c>
      <c r="K66" s="2"/>
      <c r="L66" s="2">
        <f>1.1040479</f>
        <v>1.1040479000000001</v>
      </c>
    </row>
    <row r="67" spans="1:12" ht="17">
      <c r="A67" s="1" t="str">
        <f t="shared" si="3"/>
        <v>2020/05/07</v>
      </c>
      <c r="B67" s="1" t="str">
        <f>"15:00"</f>
        <v>15:00</v>
      </c>
      <c r="C67" s="2"/>
      <c r="D67" s="2">
        <f>0.13361338</f>
        <v>0.13361338</v>
      </c>
      <c r="E67" s="2"/>
      <c r="F67" s="2">
        <f>0.37030625</f>
        <v>0.37030625</v>
      </c>
      <c r="G67" s="2"/>
      <c r="H67" s="2">
        <f>0.4426203</f>
        <v>0.44262030000000002</v>
      </c>
      <c r="I67" s="2"/>
      <c r="J67" s="2">
        <f>1.1866521</f>
        <v>1.1866521000000001</v>
      </c>
      <c r="K67" s="2"/>
      <c r="L67" s="2">
        <f>1.0626373</f>
        <v>1.0626373</v>
      </c>
    </row>
    <row r="68" spans="1:12" ht="17">
      <c r="A68" s="1" t="str">
        <f t="shared" si="3"/>
        <v>2020/05/07</v>
      </c>
      <c r="B68" s="1" t="str">
        <f>"16:00"</f>
        <v>16:00</v>
      </c>
      <c r="C68" s="2"/>
      <c r="D68" s="2">
        <f>0.10225583</f>
        <v>0.10225583000000001</v>
      </c>
      <c r="E68" s="2"/>
      <c r="F68" s="2">
        <f>0.32351157</f>
        <v>0.32351157000000003</v>
      </c>
      <c r="G68" s="2"/>
      <c r="H68" s="2">
        <f>0.31016526</f>
        <v>0.31016526</v>
      </c>
      <c r="I68" s="2"/>
      <c r="J68" s="2">
        <f>1.1731629</f>
        <v>1.1731628999999999</v>
      </c>
      <c r="K68" s="2"/>
      <c r="L68" s="2">
        <f>2.5176864</f>
        <v>2.5176864000000001</v>
      </c>
    </row>
    <row r="69" spans="1:12" ht="17">
      <c r="A69" s="1" t="str">
        <f t="shared" si="3"/>
        <v>2020/05/07</v>
      </c>
      <c r="B69" s="1" t="str">
        <f>"17:00"</f>
        <v>17:00</v>
      </c>
      <c r="C69" s="2"/>
      <c r="D69" s="2">
        <f>0.103973575</f>
        <v>0.103973575</v>
      </c>
      <c r="E69" s="2"/>
      <c r="F69" s="2">
        <f>0.27413216</f>
        <v>0.27413216000000001</v>
      </c>
      <c r="G69" s="2"/>
      <c r="H69" s="2">
        <f>0.4056038</f>
        <v>0.40560380000000001</v>
      </c>
      <c r="I69" s="2"/>
      <c r="J69" s="2">
        <f>1.0297159</f>
        <v>1.0297159</v>
      </c>
      <c r="K69" s="2"/>
      <c r="L69" s="2">
        <f>0.8366732</f>
        <v>0.83667320000000001</v>
      </c>
    </row>
    <row r="70" spans="1:12" ht="17">
      <c r="A70" s="1" t="str">
        <f t="shared" si="3"/>
        <v>2020/05/07</v>
      </c>
      <c r="B70" s="1" t="str">
        <f>"18:00"</f>
        <v>18:00</v>
      </c>
      <c r="C70" s="2"/>
      <c r="D70" s="2">
        <f>0.21846534</f>
        <v>0.21846534000000001</v>
      </c>
      <c r="E70" s="2"/>
      <c r="F70" s="2">
        <f>0.30553874</f>
        <v>0.30553873999999998</v>
      </c>
      <c r="G70" s="2"/>
      <c r="H70" s="2">
        <f>0.582773</f>
        <v>0.58277299999999999</v>
      </c>
      <c r="I70" s="2"/>
      <c r="J70" s="2">
        <f>1.1894996</f>
        <v>1.1894996</v>
      </c>
      <c r="K70" s="2"/>
      <c r="L70" s="2">
        <f>1.1697904</f>
        <v>1.1697903999999999</v>
      </c>
    </row>
    <row r="71" spans="1:12" ht="17">
      <c r="A71" s="1" t="str">
        <f t="shared" si="3"/>
        <v>2020/05/07</v>
      </c>
      <c r="B71" s="1" t="str">
        <f>"19:00"</f>
        <v>19:00</v>
      </c>
      <c r="C71" s="2"/>
      <c r="D71" s="2">
        <f>0.23598559</f>
        <v>0.23598559</v>
      </c>
      <c r="E71" s="2"/>
      <c r="F71" s="2">
        <f>0.35749292</f>
        <v>0.35749291999999999</v>
      </c>
      <c r="G71" s="2"/>
      <c r="H71" s="2">
        <f>0.5263616</f>
        <v>0.52636159999999999</v>
      </c>
      <c r="I71" s="2"/>
      <c r="J71" s="2">
        <f>1.0187528</f>
        <v>1.0187527999999999</v>
      </c>
      <c r="K71" s="2"/>
      <c r="L71" s="2">
        <f>1.1317006</f>
        <v>1.1317006000000001</v>
      </c>
    </row>
    <row r="72" spans="1:12" ht="17">
      <c r="A72" s="1" t="str">
        <f t="shared" si="3"/>
        <v>2020/05/07</v>
      </c>
      <c r="B72" s="1" t="str">
        <f>"20:00"</f>
        <v>20:00</v>
      </c>
      <c r="C72" s="2"/>
      <c r="D72" s="2">
        <f>0.27841517</f>
        <v>0.27841516999999999</v>
      </c>
      <c r="E72" s="2"/>
      <c r="F72" s="2">
        <f>0.29163268</f>
        <v>0.29163267999999998</v>
      </c>
      <c r="G72" s="2"/>
      <c r="H72" s="2">
        <f>0.5376045</f>
        <v>0.53760450000000004</v>
      </c>
      <c r="I72" s="2"/>
      <c r="J72" s="2">
        <f>0.98722756</f>
        <v>0.98722756</v>
      </c>
      <c r="K72" s="2"/>
      <c r="L72" s="2">
        <f>1.5596305</f>
        <v>1.5596304999999999</v>
      </c>
    </row>
    <row r="73" spans="1:12" ht="17">
      <c r="A73" s="1" t="str">
        <f t="shared" si="3"/>
        <v>2020/05/07</v>
      </c>
      <c r="B73" s="1" t="str">
        <f>"21:00"</f>
        <v>21:00</v>
      </c>
      <c r="C73" s="2"/>
      <c r="D73" s="2">
        <f>0.16300063</f>
        <v>0.16300063000000001</v>
      </c>
      <c r="E73" s="2"/>
      <c r="F73" s="2">
        <f>0.5941961</f>
        <v>0.5941961</v>
      </c>
      <c r="G73" s="2"/>
      <c r="H73" s="2">
        <f>0.3242368</f>
        <v>0.32423679999999999</v>
      </c>
      <c r="I73" s="2"/>
      <c r="J73" s="2">
        <f>0.8849041</f>
        <v>0.88490409999999997</v>
      </c>
      <c r="K73" s="2"/>
      <c r="L73" s="2">
        <f>0.82751995</f>
        <v>0.82751995</v>
      </c>
    </row>
    <row r="74" spans="1:12" ht="17">
      <c r="A74" s="1" t="str">
        <f t="shared" si="3"/>
        <v>2020/05/07</v>
      </c>
      <c r="B74" s="1" t="str">
        <f>"22:00"</f>
        <v>22:00</v>
      </c>
      <c r="C74" s="2"/>
      <c r="D74" s="2">
        <f>0.214153</f>
        <v>0.21415300000000001</v>
      </c>
      <c r="E74" s="2"/>
      <c r="F74" s="2">
        <f>0.4655151</f>
        <v>0.46551510000000001</v>
      </c>
      <c r="G74" s="2"/>
      <c r="H74" s="2">
        <f>0.32132187</f>
        <v>0.32132187000000001</v>
      </c>
      <c r="I74" s="2"/>
      <c r="J74" s="2">
        <f>0.9066697</f>
        <v>0.90666970000000002</v>
      </c>
      <c r="K74" s="2"/>
      <c r="L74" s="2">
        <f>0.9679182</f>
        <v>0.96791819999999995</v>
      </c>
    </row>
    <row r="75" spans="1:12" ht="17">
      <c r="A75" s="1" t="str">
        <f t="shared" si="3"/>
        <v>2020/05/07</v>
      </c>
      <c r="B75" s="1" t="str">
        <f>"23:00"</f>
        <v>23:00</v>
      </c>
      <c r="C75" s="2"/>
      <c r="D75" s="2">
        <f>0.22605343</f>
        <v>0.22605343</v>
      </c>
      <c r="E75" s="2"/>
      <c r="F75" s="2">
        <f>0.28260982</f>
        <v>0.28260982000000001</v>
      </c>
      <c r="G75" s="2"/>
      <c r="H75" s="2">
        <f>0.6474997</f>
        <v>0.64749970000000001</v>
      </c>
      <c r="I75" s="2"/>
      <c r="J75" s="2">
        <f>1.1741191</f>
        <v>1.1741191</v>
      </c>
      <c r="K75" s="2"/>
      <c r="L75" s="2">
        <f>1.202301</f>
        <v>1.2023010000000001</v>
      </c>
    </row>
    <row r="76" spans="1:12" ht="17">
      <c r="A76" s="1" t="str">
        <f t="shared" si="3"/>
        <v>2020/05/07</v>
      </c>
      <c r="B76" s="1" t="str">
        <f>"24:00"</f>
        <v>24:00</v>
      </c>
      <c r="C76" s="2"/>
      <c r="D76" s="2">
        <f>0.296716</f>
        <v>0.29671599999999998</v>
      </c>
      <c r="E76" s="2"/>
      <c r="F76" s="2">
        <f>0.38345918</f>
        <v>0.38345918000000001</v>
      </c>
      <c r="G76" s="2"/>
      <c r="H76" s="2">
        <f>1.105116</f>
        <v>1.105116</v>
      </c>
      <c r="I76" s="2"/>
      <c r="J76" s="2">
        <f>1.3021244</f>
        <v>1.3021244000000001</v>
      </c>
      <c r="K76" s="2"/>
      <c r="L76" s="2">
        <f>2.53146</f>
        <v>2.53146</v>
      </c>
    </row>
    <row r="77" spans="1:12" ht="17">
      <c r="A77" s="1" t="str">
        <f t="shared" ref="A77:A100" si="4">"2020/05/08"</f>
        <v>2020/05/08</v>
      </c>
      <c r="B77" s="1" t="str">
        <f>"01:00"</f>
        <v>01:00</v>
      </c>
      <c r="C77" s="2">
        <f>0.4144487</f>
        <v>0.4144487</v>
      </c>
      <c r="D77" s="2">
        <f>0.1907628</f>
        <v>0.19076280000000001</v>
      </c>
      <c r="E77" s="2">
        <f>0.5526557</f>
        <v>0.55265569999999997</v>
      </c>
      <c r="F77" s="2">
        <f>0.2886922</f>
        <v>0.28869220000000001</v>
      </c>
      <c r="G77" s="2">
        <f>1.377408</f>
        <v>1.377408</v>
      </c>
      <c r="H77" s="2">
        <f>0.7175371</f>
        <v>0.71753710000000004</v>
      </c>
      <c r="I77" s="2">
        <f>1.9950484</f>
        <v>1.9950483999999999</v>
      </c>
      <c r="J77" s="2">
        <f>1.0748382</f>
        <v>1.0748382000000001</v>
      </c>
      <c r="K77" s="2">
        <f>2.6237426</f>
        <v>2.6237425999999999</v>
      </c>
      <c r="L77" s="2">
        <f>2.427761</f>
        <v>2.4277609999999998</v>
      </c>
    </row>
    <row r="78" spans="1:12" ht="17">
      <c r="A78" s="1" t="str">
        <f t="shared" si="4"/>
        <v>2020/05/08</v>
      </c>
      <c r="B78" s="1" t="str">
        <f>"02:00"</f>
        <v>02:00</v>
      </c>
      <c r="C78" s="2"/>
      <c r="D78" s="2">
        <f>0.33413407</f>
        <v>0.33413407000000001</v>
      </c>
      <c r="E78" s="2"/>
      <c r="F78" s="2">
        <f>0.26735014</f>
        <v>0.26735014000000001</v>
      </c>
      <c r="G78" s="2"/>
      <c r="H78" s="2">
        <f>0.6192056</f>
        <v>0.61920560000000002</v>
      </c>
      <c r="I78" s="2"/>
      <c r="J78" s="2">
        <f>0.9584588</f>
        <v>0.95845880000000006</v>
      </c>
      <c r="K78" s="2"/>
      <c r="L78" s="2">
        <f>1.307892</f>
        <v>1.3078920000000001</v>
      </c>
    </row>
    <row r="79" spans="1:12" ht="17">
      <c r="A79" s="1" t="str">
        <f t="shared" si="4"/>
        <v>2020/05/08</v>
      </c>
      <c r="B79" s="1" t="str">
        <f>"03:00"</f>
        <v>03:00</v>
      </c>
      <c r="C79" s="2"/>
      <c r="D79" s="2">
        <f>0.62980103</f>
        <v>0.62980102999999998</v>
      </c>
      <c r="E79" s="2"/>
      <c r="F79" s="2">
        <f>0.30071598</f>
        <v>0.30071597999999999</v>
      </c>
      <c r="G79" s="2"/>
      <c r="H79" s="2">
        <f>0.6545876</f>
        <v>0.65458760000000005</v>
      </c>
      <c r="I79" s="2"/>
      <c r="J79" s="2">
        <f>1.1473823</f>
        <v>1.1473823000000001</v>
      </c>
      <c r="K79" s="2"/>
      <c r="L79" s="2">
        <f>2.074098</f>
        <v>2.0740980000000002</v>
      </c>
    </row>
    <row r="80" spans="1:12" ht="17">
      <c r="A80" s="1" t="str">
        <f t="shared" si="4"/>
        <v>2020/05/08</v>
      </c>
      <c r="B80" s="1" t="str">
        <f>"04:00"</f>
        <v>04:00</v>
      </c>
      <c r="C80" s="2"/>
      <c r="D80" s="2">
        <f>0.27548447</f>
        <v>0.27548446999999998</v>
      </c>
      <c r="E80" s="2"/>
      <c r="F80" s="2">
        <f>0.21057646</f>
        <v>0.21057645999999999</v>
      </c>
      <c r="G80" s="2"/>
      <c r="H80" s="2">
        <f>0.4832995</f>
        <v>0.48329949999999999</v>
      </c>
      <c r="I80" s="2"/>
      <c r="J80" s="2">
        <f>0.99537444</f>
        <v>0.99537443999999997</v>
      </c>
      <c r="K80" s="2"/>
      <c r="L80" s="2">
        <f>1.5657287</f>
        <v>1.5657287</v>
      </c>
    </row>
    <row r="81" spans="1:12" ht="17">
      <c r="A81" s="1" t="str">
        <f t="shared" si="4"/>
        <v>2020/05/08</v>
      </c>
      <c r="B81" s="1" t="str">
        <f>"05:00"</f>
        <v>05:00</v>
      </c>
      <c r="C81" s="2"/>
      <c r="D81" s="2">
        <f>0.18531285</f>
        <v>0.18531285</v>
      </c>
      <c r="E81" s="2"/>
      <c r="F81" s="2">
        <f>0.23396118</f>
        <v>0.23396117999999999</v>
      </c>
      <c r="G81" s="2"/>
      <c r="H81" s="2">
        <f>0.58391994</f>
        <v>0.58391994000000003</v>
      </c>
      <c r="I81" s="2"/>
      <c r="J81" s="2">
        <f>0.92722636</f>
        <v>0.92722636000000003</v>
      </c>
      <c r="K81" s="2"/>
      <c r="L81" s="2">
        <f>1.215168</f>
        <v>1.215168</v>
      </c>
    </row>
    <row r="82" spans="1:12" ht="17">
      <c r="A82" s="1" t="str">
        <f t="shared" si="4"/>
        <v>2020/05/08</v>
      </c>
      <c r="B82" s="1" t="str">
        <f>"06:00"</f>
        <v>06:00</v>
      </c>
      <c r="C82" s="2"/>
      <c r="D82" s="2">
        <f>0.30135474</f>
        <v>0.30135474000000001</v>
      </c>
      <c r="E82" s="2"/>
      <c r="F82" s="2">
        <f>0.27779338</f>
        <v>0.27779337999999998</v>
      </c>
      <c r="G82" s="2"/>
      <c r="H82" s="2">
        <f>0.5666596</f>
        <v>0.56665960000000004</v>
      </c>
      <c r="I82" s="2"/>
      <c r="J82" s="2">
        <f>1.1507467</f>
        <v>1.1507467</v>
      </c>
      <c r="K82" s="2"/>
      <c r="L82" s="2">
        <f>1.6595647</f>
        <v>1.6595647</v>
      </c>
    </row>
    <row r="83" spans="1:12" ht="17">
      <c r="A83" s="1" t="str">
        <f t="shared" si="4"/>
        <v>2020/05/08</v>
      </c>
      <c r="B83" s="1" t="str">
        <f>"07:00"</f>
        <v>07:00</v>
      </c>
      <c r="C83" s="2"/>
      <c r="D83" s="2">
        <f>0.3079309</f>
        <v>0.30793090000000001</v>
      </c>
      <c r="E83" s="2"/>
      <c r="F83" s="2">
        <f>0.30140814</f>
        <v>0.30140813999999999</v>
      </c>
      <c r="G83" s="2"/>
      <c r="H83" s="2">
        <f>0.70777214</f>
        <v>0.70777213999999999</v>
      </c>
      <c r="I83" s="2"/>
      <c r="J83" s="2">
        <f>1.1595383</f>
        <v>1.1595382999999999</v>
      </c>
      <c r="K83" s="2"/>
      <c r="L83" s="2">
        <f>1.498165</f>
        <v>1.498165</v>
      </c>
    </row>
    <row r="84" spans="1:12" ht="17">
      <c r="A84" s="1" t="str">
        <f t="shared" si="4"/>
        <v>2020/05/08</v>
      </c>
      <c r="B84" s="1" t="str">
        <f>"08:00"</f>
        <v>08:00</v>
      </c>
      <c r="C84" s="2"/>
      <c r="D84" s="2">
        <f>0.639697</f>
        <v>0.63969699999999996</v>
      </c>
      <c r="E84" s="2"/>
      <c r="F84" s="2">
        <f>0.73871243</f>
        <v>0.73871242999999998</v>
      </c>
      <c r="G84" s="2"/>
      <c r="H84" s="2">
        <f>1.8315452</f>
        <v>1.8315452000000001</v>
      </c>
      <c r="I84" s="2"/>
      <c r="J84" s="2">
        <f>2.4268522</f>
        <v>2.4268521999999999</v>
      </c>
      <c r="K84" s="2"/>
      <c r="L84" s="2">
        <f>2.4828668</f>
        <v>2.4828668</v>
      </c>
    </row>
    <row r="85" spans="1:12" ht="17">
      <c r="A85" s="1" t="str">
        <f t="shared" si="4"/>
        <v>2020/05/08</v>
      </c>
      <c r="B85" s="1" t="str">
        <f>"09:00"</f>
        <v>09:00</v>
      </c>
      <c r="C85" s="2"/>
      <c r="D85" s="2">
        <f>0.5881282</f>
        <v>0.58812819999999999</v>
      </c>
      <c r="E85" s="2"/>
      <c r="F85" s="2">
        <f>1.1558387</f>
        <v>1.1558387000000001</v>
      </c>
      <c r="G85" s="2"/>
      <c r="H85" s="2">
        <f>3.0958292</f>
        <v>3.0958291999999998</v>
      </c>
      <c r="I85" s="2"/>
      <c r="J85" s="2">
        <f>3.97899</f>
        <v>3.97899</v>
      </c>
      <c r="K85" s="2"/>
      <c r="L85" s="2">
        <f>7.445627</f>
        <v>7.445627</v>
      </c>
    </row>
    <row r="86" spans="1:12" ht="17">
      <c r="A86" s="1" t="str">
        <f t="shared" si="4"/>
        <v>2020/05/08</v>
      </c>
      <c r="B86" s="1" t="str">
        <f>"10:00"</f>
        <v>10:00</v>
      </c>
      <c r="C86" s="2"/>
      <c r="D86" s="2">
        <f>0.75874275</f>
        <v>0.75874275000000002</v>
      </c>
      <c r="E86" s="2"/>
      <c r="F86" s="2">
        <f>1.2833599</f>
        <v>1.2833599</v>
      </c>
      <c r="G86" s="2"/>
      <c r="H86" s="2">
        <f>2.6501765</f>
        <v>2.6501765000000002</v>
      </c>
      <c r="I86" s="2"/>
      <c r="J86" s="2">
        <f>4.6847973</f>
        <v>4.6847972999999996</v>
      </c>
      <c r="K86" s="2"/>
      <c r="L86" s="2">
        <f>5.905931</f>
        <v>5.9059309999999998</v>
      </c>
    </row>
    <row r="87" spans="1:12" ht="17">
      <c r="A87" s="1" t="str">
        <f t="shared" si="4"/>
        <v>2020/05/08</v>
      </c>
      <c r="B87" s="1" t="str">
        <f>"11:00"</f>
        <v>11:00</v>
      </c>
      <c r="C87" s="2"/>
      <c r="D87" s="2">
        <f>0.6192041</f>
        <v>0.61920410000000004</v>
      </c>
      <c r="E87" s="2"/>
      <c r="F87" s="2">
        <f>0.8844119</f>
        <v>0.88441190000000003</v>
      </c>
      <c r="G87" s="2"/>
      <c r="H87" s="2">
        <f>2.10498</f>
        <v>2.1049799999999999</v>
      </c>
      <c r="I87" s="2"/>
      <c r="J87" s="2">
        <f>2.8167975</f>
        <v>2.8167974999999998</v>
      </c>
      <c r="K87" s="2"/>
      <c r="L87" s="2">
        <f>3.5723782</f>
        <v>3.5723782000000002</v>
      </c>
    </row>
    <row r="88" spans="1:12" ht="17">
      <c r="A88" s="1" t="str">
        <f t="shared" si="4"/>
        <v>2020/05/08</v>
      </c>
      <c r="B88" s="1" t="str">
        <f>"12:00"</f>
        <v>12:00</v>
      </c>
      <c r="C88" s="2"/>
      <c r="D88" s="2">
        <f>0.5402515</f>
        <v>0.5402515</v>
      </c>
      <c r="E88" s="2"/>
      <c r="F88" s="2">
        <f>0.863046</f>
        <v>0.86304599999999998</v>
      </c>
      <c r="G88" s="2"/>
      <c r="H88" s="2">
        <f>2.6795735</f>
        <v>2.6795735000000001</v>
      </c>
      <c r="I88" s="2"/>
      <c r="J88" s="2">
        <f>3.5145242</f>
        <v>3.5145241999999999</v>
      </c>
      <c r="K88" s="2"/>
      <c r="L88" s="2">
        <f>4.455016</f>
        <v>4.4550159999999996</v>
      </c>
    </row>
    <row r="89" spans="1:12" ht="17">
      <c r="A89" s="1" t="str">
        <f t="shared" si="4"/>
        <v>2020/05/08</v>
      </c>
      <c r="B89" s="1" t="str">
        <f>"13:00"</f>
        <v>13:00</v>
      </c>
      <c r="C89" s="2"/>
      <c r="D89" s="2">
        <f>0.31291732</f>
        <v>0.31291732</v>
      </c>
      <c r="E89" s="2"/>
      <c r="F89" s="2">
        <f>0.64420754</f>
        <v>0.64420754000000002</v>
      </c>
      <c r="G89" s="2"/>
      <c r="H89" s="2">
        <f>1.9939467</f>
        <v>1.9939467</v>
      </c>
      <c r="I89" s="2"/>
      <c r="J89" s="2">
        <f>2.4471915</f>
        <v>2.4471915000000002</v>
      </c>
      <c r="K89" s="2"/>
      <c r="L89" s="2">
        <f>3.2585807</f>
        <v>3.2585807</v>
      </c>
    </row>
    <row r="90" spans="1:12" ht="17">
      <c r="A90" s="1" t="str">
        <f t="shared" si="4"/>
        <v>2020/05/08</v>
      </c>
      <c r="B90" s="1" t="str">
        <f>"14:00"</f>
        <v>14:00</v>
      </c>
      <c r="C90" s="2"/>
      <c r="D90" s="2">
        <f>0.29991546</f>
        <v>0.29991546000000002</v>
      </c>
      <c r="E90" s="2"/>
      <c r="F90" s="2">
        <f>0.53714657</f>
        <v>0.53714656999999999</v>
      </c>
      <c r="G90" s="2"/>
      <c r="H90" s="2">
        <f>1.4565922</f>
        <v>1.4565922</v>
      </c>
      <c r="I90" s="2"/>
      <c r="J90" s="2">
        <f>2.1578329</f>
        <v>2.1578328999999998</v>
      </c>
      <c r="K90" s="2"/>
      <c r="L90" s="2">
        <f>2.7645879</f>
        <v>2.7645879</v>
      </c>
    </row>
    <row r="91" spans="1:12" ht="17">
      <c r="A91" s="1" t="str">
        <f t="shared" si="4"/>
        <v>2020/05/08</v>
      </c>
      <c r="B91" s="1" t="str">
        <f>"15:00"</f>
        <v>15:00</v>
      </c>
      <c r="C91" s="2"/>
      <c r="D91" s="2">
        <f>0.23975392</f>
        <v>0.23975392000000001</v>
      </c>
      <c r="E91" s="2"/>
      <c r="F91" s="2">
        <f>0.45752466</f>
        <v>0.45752466000000003</v>
      </c>
      <c r="G91" s="2"/>
      <c r="H91" s="2">
        <f>0.72500813</f>
        <v>0.72500812999999997</v>
      </c>
      <c r="I91" s="2"/>
      <c r="J91" s="2">
        <f>1.6876487</f>
        <v>1.6876487</v>
      </c>
      <c r="K91" s="2"/>
      <c r="L91" s="2">
        <f>1.6122466</f>
        <v>1.6122466</v>
      </c>
    </row>
    <row r="92" spans="1:12" ht="17">
      <c r="A92" s="1" t="str">
        <f t="shared" si="4"/>
        <v>2020/05/08</v>
      </c>
      <c r="B92" s="1" t="str">
        <f>"16:00"</f>
        <v>16:00</v>
      </c>
      <c r="C92" s="2"/>
      <c r="D92" s="2">
        <f>0.24822606</f>
        <v>0.24822606</v>
      </c>
      <c r="E92" s="2"/>
      <c r="F92" s="2">
        <f>0.37078238</f>
        <v>0.37078238000000002</v>
      </c>
      <c r="G92" s="2"/>
      <c r="H92" s="2">
        <f>0.5425006</f>
        <v>0.5425006</v>
      </c>
      <c r="I92" s="2"/>
      <c r="J92" s="2">
        <f>1.4067521</f>
        <v>1.4067521000000001</v>
      </c>
      <c r="K92" s="2"/>
      <c r="L92" s="2">
        <f>1.5064331</f>
        <v>1.5064331</v>
      </c>
    </row>
    <row r="93" spans="1:12" ht="17">
      <c r="A93" s="1" t="str">
        <f t="shared" si="4"/>
        <v>2020/05/08</v>
      </c>
      <c r="B93" s="1" t="str">
        <f>"17:00"</f>
        <v>17:00</v>
      </c>
      <c r="C93" s="2"/>
      <c r="D93" s="2">
        <f>0.24935618</f>
        <v>0.24935618000000001</v>
      </c>
      <c r="E93" s="2"/>
      <c r="F93" s="2">
        <f>0.39772147</f>
        <v>0.39772147000000002</v>
      </c>
      <c r="G93" s="2"/>
      <c r="H93" s="2">
        <f>0.73136157</f>
        <v>0.73136157000000002</v>
      </c>
      <c r="I93" s="2"/>
      <c r="J93" s="2">
        <f>1.4192625</f>
        <v>1.4192625000000001</v>
      </c>
      <c r="K93" s="2"/>
      <c r="L93" s="2">
        <f>1.4298385</f>
        <v>1.4298385</v>
      </c>
    </row>
    <row r="94" spans="1:12" ht="17">
      <c r="A94" s="1" t="str">
        <f t="shared" si="4"/>
        <v>2020/05/08</v>
      </c>
      <c r="B94" s="1" t="str">
        <f>"18:00"</f>
        <v>18:00</v>
      </c>
      <c r="C94" s="2"/>
      <c r="D94" s="2">
        <f>0.32179388</f>
        <v>0.32179387999999998</v>
      </c>
      <c r="E94" s="2"/>
      <c r="F94" s="2">
        <f>0.33514947</f>
        <v>0.33514947</v>
      </c>
      <c r="G94" s="2"/>
      <c r="H94" s="2">
        <f>0.92202544</f>
        <v>0.92202543999999997</v>
      </c>
      <c r="I94" s="2"/>
      <c r="J94" s="2">
        <f>1.5025228</f>
        <v>1.5025227999999999</v>
      </c>
      <c r="K94" s="2"/>
      <c r="L94" s="2">
        <f>1.3636422</f>
        <v>1.3636421999999999</v>
      </c>
    </row>
    <row r="95" spans="1:12" ht="17">
      <c r="A95" s="1" t="str">
        <f t="shared" si="4"/>
        <v>2020/05/08</v>
      </c>
      <c r="B95" s="1" t="str">
        <f>"19:00"</f>
        <v>19:00</v>
      </c>
      <c r="C95" s="2"/>
      <c r="D95" s="2">
        <f>0.39686215</f>
        <v>0.39686215000000002</v>
      </c>
      <c r="E95" s="2"/>
      <c r="F95" s="2">
        <f>0.44652697</f>
        <v>0.44652697000000002</v>
      </c>
      <c r="G95" s="2"/>
      <c r="H95" s="2">
        <f>0.98494023</f>
        <v>0.98494022999999997</v>
      </c>
      <c r="I95" s="2"/>
      <c r="J95" s="2">
        <f>1.6016743</f>
        <v>1.6016743</v>
      </c>
      <c r="K95" s="2"/>
      <c r="L95" s="2">
        <f>2.0491982</f>
        <v>2.0491982000000002</v>
      </c>
    </row>
    <row r="96" spans="1:12" ht="17">
      <c r="A96" s="1" t="str">
        <f t="shared" si="4"/>
        <v>2020/05/08</v>
      </c>
      <c r="B96" s="1" t="str">
        <f>"20:00"</f>
        <v>20:00</v>
      </c>
      <c r="C96" s="2"/>
      <c r="D96" s="2">
        <f>0.5109239</f>
        <v>0.51092389999999999</v>
      </c>
      <c r="E96" s="2"/>
      <c r="F96" s="2">
        <f>0.6281481</f>
        <v>0.62814809999999999</v>
      </c>
      <c r="G96" s="2"/>
      <c r="H96" s="2">
        <f>1.6926887</f>
        <v>1.6926886999999999</v>
      </c>
      <c r="I96" s="2"/>
      <c r="J96" s="2">
        <f>2.222172</f>
        <v>2.222172</v>
      </c>
      <c r="K96" s="2"/>
      <c r="L96" s="2">
        <f>2.3596885</f>
        <v>2.3596884999999999</v>
      </c>
    </row>
    <row r="97" spans="1:12" ht="17">
      <c r="A97" s="1" t="str">
        <f t="shared" si="4"/>
        <v>2020/05/08</v>
      </c>
      <c r="B97" s="1" t="str">
        <f>"21:00"</f>
        <v>21:00</v>
      </c>
      <c r="C97" s="2"/>
      <c r="D97" s="2">
        <f>0.46433586</f>
        <v>0.46433585999999999</v>
      </c>
      <c r="E97" s="2"/>
      <c r="F97" s="2">
        <f>0.6935336</f>
        <v>0.69353359999999997</v>
      </c>
      <c r="G97" s="2"/>
      <c r="H97" s="2">
        <f>2.032914</f>
        <v>2.0329139999999999</v>
      </c>
      <c r="I97" s="2"/>
      <c r="J97" s="2">
        <f>2.2953148</f>
        <v>2.2953147999999999</v>
      </c>
      <c r="K97" s="2"/>
      <c r="L97" s="2">
        <f>3.07563</f>
        <v>3.0756299999999999</v>
      </c>
    </row>
    <row r="98" spans="1:12" ht="17">
      <c r="A98" s="1" t="str">
        <f t="shared" si="4"/>
        <v>2020/05/08</v>
      </c>
      <c r="B98" s="1" t="str">
        <f>"22:00"</f>
        <v>22:00</v>
      </c>
      <c r="C98" s="2"/>
      <c r="D98" s="2">
        <f>0.38364238</f>
        <v>0.38364238000000001</v>
      </c>
      <c r="E98" s="2"/>
      <c r="F98" s="2">
        <f>0.86168283</f>
        <v>0.86168283000000001</v>
      </c>
      <c r="G98" s="2"/>
      <c r="H98" s="2">
        <f>2.1964567</f>
        <v>2.1964567000000002</v>
      </c>
      <c r="I98" s="2"/>
      <c r="J98" s="2">
        <f>2.585134</f>
        <v>2.585134</v>
      </c>
      <c r="K98" s="2"/>
      <c r="L98" s="2">
        <f>2.8896713</f>
        <v>2.8896712999999998</v>
      </c>
    </row>
    <row r="99" spans="1:12" ht="17">
      <c r="A99" s="1" t="str">
        <f t="shared" si="4"/>
        <v>2020/05/08</v>
      </c>
      <c r="B99" s="1" t="str">
        <f>"23:00"</f>
        <v>23:00</v>
      </c>
      <c r="C99" s="2"/>
      <c r="D99" s="2">
        <f>0.70373625</f>
        <v>0.70373624999999995</v>
      </c>
      <c r="E99" s="2"/>
      <c r="F99" s="2">
        <f>0.5902417</f>
        <v>0.59024169999999998</v>
      </c>
      <c r="G99" s="2"/>
      <c r="H99" s="2">
        <f>1.7223822</f>
        <v>1.7223822</v>
      </c>
      <c r="I99" s="2"/>
      <c r="J99" s="2">
        <f>1.9501455</f>
        <v>1.9501455000000001</v>
      </c>
      <c r="K99" s="2"/>
      <c r="L99" s="2">
        <f>2.2041316</f>
        <v>2.2041316000000002</v>
      </c>
    </row>
    <row r="100" spans="1:12" ht="17">
      <c r="A100" s="1" t="str">
        <f t="shared" si="4"/>
        <v>2020/05/08</v>
      </c>
      <c r="B100" s="1" t="str">
        <f>"24:00"</f>
        <v>24:00</v>
      </c>
      <c r="C100" s="2"/>
      <c r="D100" s="2">
        <f>0.444501</f>
        <v>0.44450099999999998</v>
      </c>
      <c r="E100" s="2"/>
      <c r="F100" s="2">
        <f>0.49520573</f>
        <v>0.49520573000000001</v>
      </c>
      <c r="G100" s="2"/>
      <c r="H100" s="2">
        <f>1.3618894</f>
        <v>1.3618893999999999</v>
      </c>
      <c r="I100" s="2"/>
      <c r="J100" s="2">
        <f>1.769983</f>
        <v>1.7699830000000001</v>
      </c>
      <c r="K100" s="2"/>
      <c r="L100" s="2">
        <f>2.845978</f>
        <v>2.8459780000000001</v>
      </c>
    </row>
    <row r="101" spans="1:12" ht="17">
      <c r="A101" s="1" t="str">
        <f t="shared" ref="A101:A124" si="5">"2020/05/09"</f>
        <v>2020/05/09</v>
      </c>
      <c r="B101" s="1" t="str">
        <f>"01:00"</f>
        <v>01:00</v>
      </c>
      <c r="C101" s="2">
        <f>0.6142688</f>
        <v>0.61426879999999995</v>
      </c>
      <c r="D101" s="2">
        <f>0.46835735</f>
        <v>0.46835735000000001</v>
      </c>
      <c r="E101" s="2">
        <f>0.6009094</f>
        <v>0.60090940000000004</v>
      </c>
      <c r="F101" s="2">
        <f>0.5370971</f>
        <v>0.53709709999999999</v>
      </c>
      <c r="G101" s="2">
        <f>1.8755656</f>
        <v>1.8755656000000001</v>
      </c>
      <c r="H101" s="2">
        <f>1.4883902</f>
        <v>1.4883902</v>
      </c>
      <c r="I101" s="2">
        <f>2.182704</f>
        <v>2.1827040000000002</v>
      </c>
      <c r="J101" s="2">
        <f>1.6847397</f>
        <v>1.6847397</v>
      </c>
      <c r="K101" s="2">
        <f>2.648899</f>
        <v>2.6488990000000001</v>
      </c>
      <c r="L101" s="2">
        <f>2.0498085</f>
        <v>2.0498085000000001</v>
      </c>
    </row>
    <row r="102" spans="1:12" ht="17">
      <c r="A102" s="1" t="str">
        <f t="shared" si="5"/>
        <v>2020/05/09</v>
      </c>
      <c r="B102" s="1" t="str">
        <f>"02:00"</f>
        <v>02:00</v>
      </c>
      <c r="C102" s="2"/>
      <c r="D102" s="2">
        <f>0.41378292</f>
        <v>0.41378292</v>
      </c>
      <c r="E102" s="2"/>
      <c r="F102" s="2">
        <f>0.3902705</f>
        <v>0.39027050000000002</v>
      </c>
      <c r="G102" s="2"/>
      <c r="H102" s="2">
        <f>1.1015004</f>
        <v>1.1015003999999999</v>
      </c>
      <c r="I102" s="2"/>
      <c r="J102" s="2">
        <f>1.5896362</f>
        <v>1.5896361999999999</v>
      </c>
      <c r="K102" s="2"/>
      <c r="L102" s="2">
        <f>2.0574749</f>
        <v>2.0574748999999999</v>
      </c>
    </row>
    <row r="103" spans="1:12" ht="17">
      <c r="A103" s="1" t="str">
        <f t="shared" si="5"/>
        <v>2020/05/09</v>
      </c>
      <c r="B103" s="1" t="str">
        <f>"03:00"</f>
        <v>03:00</v>
      </c>
      <c r="C103" s="2"/>
      <c r="D103" s="2">
        <f>0.62755024</f>
        <v>0.62755024000000004</v>
      </c>
      <c r="E103" s="2"/>
      <c r="F103" s="2">
        <f>0.45022085</f>
        <v>0.45022085000000001</v>
      </c>
      <c r="G103" s="2"/>
      <c r="H103" s="2">
        <f>1.2088374</f>
        <v>1.2088374</v>
      </c>
      <c r="I103" s="2"/>
      <c r="J103" s="2">
        <f>1.6996549</f>
        <v>1.6996549000000001</v>
      </c>
      <c r="K103" s="2"/>
      <c r="L103" s="2">
        <f>2.1420398</f>
        <v>2.1420398</v>
      </c>
    </row>
    <row r="104" spans="1:12" ht="17">
      <c r="A104" s="1" t="str">
        <f t="shared" si="5"/>
        <v>2020/05/09</v>
      </c>
      <c r="B104" s="1" t="str">
        <f>"04:00"</f>
        <v>04:00</v>
      </c>
      <c r="C104" s="2"/>
      <c r="D104" s="2">
        <f>0.33566698</f>
        <v>0.33566698</v>
      </c>
      <c r="E104" s="2"/>
      <c r="F104" s="2">
        <f>0.6054574</f>
        <v>0.60545740000000003</v>
      </c>
      <c r="G104" s="2"/>
      <c r="H104" s="2">
        <f>1.5592005</f>
        <v>1.5592005</v>
      </c>
      <c r="I104" s="2"/>
      <c r="J104" s="2">
        <f>1.9287196</f>
        <v>1.9287196</v>
      </c>
      <c r="K104" s="2"/>
      <c r="L104" s="2">
        <f>2.877352</f>
        <v>2.8773520000000001</v>
      </c>
    </row>
    <row r="105" spans="1:12" ht="17">
      <c r="A105" s="1" t="str">
        <f t="shared" si="5"/>
        <v>2020/05/09</v>
      </c>
      <c r="B105" s="1" t="str">
        <f>"05:00"</f>
        <v>05:00</v>
      </c>
      <c r="C105" s="2"/>
      <c r="D105" s="2">
        <f>0.6513736</f>
        <v>0.6513736</v>
      </c>
      <c r="E105" s="2"/>
      <c r="F105" s="2">
        <f>0.53967</f>
        <v>0.53966999999999998</v>
      </c>
      <c r="G105" s="2"/>
      <c r="H105" s="2">
        <f>2.1153538</f>
        <v>2.1153537999999998</v>
      </c>
      <c r="I105" s="2"/>
      <c r="J105" s="2">
        <f>2.009218</f>
        <v>2.0092180000000002</v>
      </c>
      <c r="K105" s="2"/>
      <c r="L105" s="2">
        <f>2.5033042</f>
        <v>2.5033042000000001</v>
      </c>
    </row>
    <row r="106" spans="1:12" ht="17">
      <c r="A106" s="1" t="str">
        <f t="shared" si="5"/>
        <v>2020/05/09</v>
      </c>
      <c r="B106" s="1" t="str">
        <f>"06:00"</f>
        <v>06:00</v>
      </c>
      <c r="C106" s="2"/>
      <c r="D106" s="2">
        <f>0.5631071</f>
        <v>0.56310709999999997</v>
      </c>
      <c r="E106" s="2"/>
      <c r="F106" s="2">
        <f>0.6949875</f>
        <v>0.69498749999999998</v>
      </c>
      <c r="G106" s="2"/>
      <c r="H106" s="2">
        <f>2.4953117</f>
        <v>2.4953116999999998</v>
      </c>
      <c r="I106" s="2"/>
      <c r="J106" s="2">
        <f>2.6633048</f>
        <v>2.6633048000000001</v>
      </c>
      <c r="K106" s="2"/>
      <c r="L106" s="2">
        <f>2.9039834</f>
        <v>2.9039834</v>
      </c>
    </row>
    <row r="107" spans="1:12" ht="17">
      <c r="A107" s="1" t="str">
        <f t="shared" si="5"/>
        <v>2020/05/09</v>
      </c>
      <c r="B107" s="1" t="str">
        <f>"07:00"</f>
        <v>07:00</v>
      </c>
      <c r="C107" s="2"/>
      <c r="D107" s="2">
        <f>0.41523117</f>
        <v>0.41523116999999998</v>
      </c>
      <c r="E107" s="2"/>
      <c r="F107" s="2">
        <f>0.95973855</f>
        <v>0.95973854999999997</v>
      </c>
      <c r="G107" s="2"/>
      <c r="H107" s="2">
        <f>4.4476743</f>
        <v>4.4476743000000001</v>
      </c>
      <c r="I107" s="2"/>
      <c r="J107" s="2">
        <f>3.2411947</f>
        <v>3.2411946999999999</v>
      </c>
      <c r="K107" s="2"/>
      <c r="L107" s="2">
        <f>3.5635705</f>
        <v>3.5635705</v>
      </c>
    </row>
    <row r="108" spans="1:12" ht="17">
      <c r="A108" s="1" t="str">
        <f t="shared" si="5"/>
        <v>2020/05/09</v>
      </c>
      <c r="B108" s="1" t="str">
        <f>"08:00"</f>
        <v>08:00</v>
      </c>
      <c r="C108" s="2"/>
      <c r="D108" s="2">
        <f>0.4433586</f>
        <v>0.44335859999999999</v>
      </c>
      <c r="E108" s="2"/>
      <c r="F108" s="2">
        <f>0.8637217</f>
        <v>0.86372170000000004</v>
      </c>
      <c r="G108" s="2"/>
      <c r="H108" s="2">
        <f>3.26868</f>
        <v>3.2686799999999998</v>
      </c>
      <c r="I108" s="2"/>
      <c r="J108" s="2">
        <f>3.0375485</f>
        <v>3.0375485000000002</v>
      </c>
      <c r="K108" s="2"/>
      <c r="L108" s="2">
        <f>4.57053</f>
        <v>4.5705299999999998</v>
      </c>
    </row>
    <row r="109" spans="1:12" ht="17">
      <c r="A109" s="1" t="str">
        <f t="shared" si="5"/>
        <v>2020/05/09</v>
      </c>
      <c r="B109" s="1" t="str">
        <f>"09:00"</f>
        <v>09:00</v>
      </c>
      <c r="C109" s="2"/>
      <c r="D109" s="2">
        <f>1.4394958</f>
        <v>1.4394958</v>
      </c>
      <c r="E109" s="2"/>
      <c r="F109" s="2">
        <f>1.15249</f>
        <v>1.15249</v>
      </c>
      <c r="G109" s="2"/>
      <c r="H109" s="2">
        <f>4.3116894</f>
        <v>4.3116893999999997</v>
      </c>
      <c r="I109" s="2"/>
      <c r="J109" s="2">
        <f>4.461076</f>
        <v>4.4610760000000003</v>
      </c>
      <c r="K109" s="2"/>
      <c r="L109" s="2">
        <f>5.5454974</f>
        <v>5.5454974000000004</v>
      </c>
    </row>
    <row r="110" spans="1:12" ht="17">
      <c r="A110" s="1" t="str">
        <f t="shared" si="5"/>
        <v>2020/05/09</v>
      </c>
      <c r="B110" s="1" t="str">
        <f>"10:00"</f>
        <v>10:00</v>
      </c>
      <c r="C110" s="2"/>
      <c r="D110" s="2">
        <f>0.87398505</f>
        <v>0.87398505000000004</v>
      </c>
      <c r="E110" s="2"/>
      <c r="F110" s="2">
        <f>0.88384163</f>
        <v>0.88384163000000004</v>
      </c>
      <c r="G110" s="2"/>
      <c r="H110" s="2">
        <f>2.9869401</f>
        <v>2.9869401</v>
      </c>
      <c r="I110" s="2"/>
      <c r="J110" s="2">
        <f>3.1078475</f>
        <v>3.1078475000000001</v>
      </c>
      <c r="K110" s="2"/>
      <c r="L110" s="2">
        <f>3.2634804</f>
        <v>3.2634804000000002</v>
      </c>
    </row>
    <row r="111" spans="1:12" ht="17">
      <c r="A111" s="1" t="str">
        <f t="shared" si="5"/>
        <v>2020/05/09</v>
      </c>
      <c r="B111" s="1" t="str">
        <f>"11:00"</f>
        <v>11:00</v>
      </c>
      <c r="C111" s="2"/>
      <c r="D111" s="2">
        <f>1.9655342</f>
        <v>1.9655342</v>
      </c>
      <c r="E111" s="2"/>
      <c r="F111" s="2">
        <f>0.72182703</f>
        <v>0.72182703000000004</v>
      </c>
      <c r="G111" s="2"/>
      <c r="H111" s="2">
        <f>2.2948477</f>
        <v>2.2948477</v>
      </c>
      <c r="I111" s="2"/>
      <c r="J111" s="2">
        <f>2.50104</f>
        <v>2.5010400000000002</v>
      </c>
      <c r="K111" s="2"/>
      <c r="L111" s="2">
        <f>2.8835914</f>
        <v>2.8835913999999998</v>
      </c>
    </row>
    <row r="112" spans="1:12" ht="17">
      <c r="A112" s="1" t="str">
        <f t="shared" si="5"/>
        <v>2020/05/09</v>
      </c>
      <c r="B112" s="1" t="str">
        <f>"12:00"</f>
        <v>12:00</v>
      </c>
      <c r="C112" s="2"/>
      <c r="D112" s="2">
        <f>0.62342733</f>
        <v>0.62342732999999995</v>
      </c>
      <c r="E112" s="2"/>
      <c r="F112" s="2">
        <f>0.6733958</f>
        <v>0.67339579999999999</v>
      </c>
      <c r="G112" s="2"/>
      <c r="H112" s="2">
        <f>2.0087726</f>
        <v>2.0087725999999999</v>
      </c>
      <c r="I112" s="2"/>
      <c r="J112" s="2">
        <f>2.4907765</f>
        <v>2.4907764999999999</v>
      </c>
      <c r="K112" s="2"/>
      <c r="L112" s="2">
        <f>3.480148</f>
        <v>3.4801479999999998</v>
      </c>
    </row>
    <row r="113" spans="1:12" ht="17">
      <c r="A113" s="1" t="str">
        <f t="shared" si="5"/>
        <v>2020/05/09</v>
      </c>
      <c r="B113" s="1" t="str">
        <f>"13:00"</f>
        <v>13:00</v>
      </c>
      <c r="C113" s="2"/>
      <c r="D113" s="2">
        <f>0.66538346</f>
        <v>0.66538346000000004</v>
      </c>
      <c r="E113" s="2"/>
      <c r="F113" s="2">
        <f>0.48934403</f>
        <v>0.48934402999999999</v>
      </c>
      <c r="G113" s="2"/>
      <c r="H113" s="2">
        <f>1.737551</f>
        <v>1.7375510000000001</v>
      </c>
      <c r="I113" s="2"/>
      <c r="J113" s="2">
        <f>2.2054503</f>
        <v>2.2054502999999999</v>
      </c>
      <c r="K113" s="2"/>
      <c r="L113" s="2">
        <f>3.3091955</f>
        <v>3.3091955</v>
      </c>
    </row>
    <row r="114" spans="1:12" ht="17">
      <c r="A114" s="1" t="str">
        <f t="shared" si="5"/>
        <v>2020/05/09</v>
      </c>
      <c r="B114" s="1" t="str">
        <f>"14:00"</f>
        <v>14:00</v>
      </c>
      <c r="C114" s="2"/>
      <c r="D114" s="2">
        <f>0.64769125</f>
        <v>0.64769125000000005</v>
      </c>
      <c r="E114" s="2"/>
      <c r="F114" s="2">
        <f>0.67169845</f>
        <v>0.67169844999999995</v>
      </c>
      <c r="G114" s="2"/>
      <c r="H114" s="2">
        <f>1.7921106</f>
        <v>1.7921106</v>
      </c>
      <c r="I114" s="2"/>
      <c r="J114" s="2">
        <f>2.3634734</f>
        <v>2.3634734000000002</v>
      </c>
      <c r="K114" s="2"/>
      <c r="L114" s="2">
        <f>2.4026523</f>
        <v>2.4026523000000002</v>
      </c>
    </row>
    <row r="115" spans="1:12" ht="17">
      <c r="A115" s="1" t="str">
        <f t="shared" si="5"/>
        <v>2020/05/09</v>
      </c>
      <c r="B115" s="1" t="str">
        <f>"15:00"</f>
        <v>15:00</v>
      </c>
      <c r="C115" s="2"/>
      <c r="D115" s="2">
        <f>0.3253692</f>
        <v>0.32536920000000003</v>
      </c>
      <c r="E115" s="2"/>
      <c r="F115" s="2">
        <f>0.41773337</f>
        <v>0.41773336999999999</v>
      </c>
      <c r="G115" s="2"/>
      <c r="H115" s="2">
        <f>0.6185577</f>
        <v>0.61855769999999999</v>
      </c>
      <c r="I115" s="2"/>
      <c r="J115" s="2">
        <f>1.5027007</f>
        <v>1.5027006999999999</v>
      </c>
      <c r="K115" s="2"/>
      <c r="L115" s="2">
        <f>1.9043697</f>
        <v>1.9043696999999999</v>
      </c>
    </row>
    <row r="116" spans="1:12" ht="17">
      <c r="A116" s="1" t="str">
        <f t="shared" si="5"/>
        <v>2020/05/09</v>
      </c>
      <c r="B116" s="1" t="str">
        <f>"16:00"</f>
        <v>16:00</v>
      </c>
      <c r="C116" s="2"/>
      <c r="D116" s="2">
        <f>0.54071075</f>
        <v>0.54071075000000002</v>
      </c>
      <c r="E116" s="2"/>
      <c r="F116" s="2">
        <f>0.3892622</f>
        <v>0.3892622</v>
      </c>
      <c r="G116" s="2"/>
      <c r="H116" s="2">
        <f>0.6479876</f>
        <v>0.6479876</v>
      </c>
      <c r="I116" s="2"/>
      <c r="J116" s="2">
        <f>1.3291577</f>
        <v>1.3291577000000001</v>
      </c>
      <c r="K116" s="2"/>
      <c r="L116" s="2">
        <f>1.5488837</f>
        <v>1.5488837</v>
      </c>
    </row>
    <row r="117" spans="1:12" ht="17">
      <c r="A117" s="1" t="str">
        <f t="shared" si="5"/>
        <v>2020/05/09</v>
      </c>
      <c r="B117" s="1" t="str">
        <f>"17:00"</f>
        <v>17:00</v>
      </c>
      <c r="C117" s="2"/>
      <c r="D117" s="2">
        <f>0.33733466</f>
        <v>0.33733466000000001</v>
      </c>
      <c r="E117" s="2"/>
      <c r="F117" s="2">
        <f>0.34755602</f>
        <v>0.34755602000000002</v>
      </c>
      <c r="G117" s="2"/>
      <c r="H117" s="2">
        <f>0.91109914</f>
        <v>0.91109914000000003</v>
      </c>
      <c r="I117" s="2"/>
      <c r="J117" s="2">
        <f>1.2986825</f>
        <v>1.2986825</v>
      </c>
      <c r="K117" s="2"/>
      <c r="L117" s="2">
        <f>1.6999322</f>
        <v>1.6999321999999999</v>
      </c>
    </row>
    <row r="118" spans="1:12" ht="17">
      <c r="A118" s="1" t="str">
        <f t="shared" si="5"/>
        <v>2020/05/09</v>
      </c>
      <c r="B118" s="1" t="str">
        <f>"18:00"</f>
        <v>18:00</v>
      </c>
      <c r="C118" s="2"/>
      <c r="D118" s="2">
        <f>0.32561672</f>
        <v>0.32561672000000003</v>
      </c>
      <c r="E118" s="2"/>
      <c r="F118" s="2">
        <f>0.37277207</f>
        <v>0.37277207000000001</v>
      </c>
      <c r="G118" s="2"/>
      <c r="H118" s="2">
        <f>0.91845983</f>
        <v>0.91845982999999998</v>
      </c>
      <c r="I118" s="2"/>
      <c r="J118" s="2">
        <f>1.511915</f>
        <v>1.5119149999999999</v>
      </c>
      <c r="K118" s="2"/>
      <c r="L118" s="2">
        <f>1.792147</f>
        <v>1.7921469999999999</v>
      </c>
    </row>
    <row r="119" spans="1:12" ht="17">
      <c r="A119" s="1" t="str">
        <f t="shared" si="5"/>
        <v>2020/05/09</v>
      </c>
      <c r="B119" s="1" t="str">
        <f>"19:00"</f>
        <v>19:00</v>
      </c>
      <c r="C119" s="2"/>
      <c r="D119" s="2">
        <f>0.44443712</f>
        <v>0.44443712000000002</v>
      </c>
      <c r="E119" s="2"/>
      <c r="F119" s="2">
        <f>0.48888442</f>
        <v>0.48888441999999999</v>
      </c>
      <c r="G119" s="2"/>
      <c r="H119" s="2">
        <f>1.1984074</f>
        <v>1.1984074</v>
      </c>
      <c r="I119" s="2"/>
      <c r="J119" s="2">
        <f>1.789325</f>
        <v>1.7893250000000001</v>
      </c>
      <c r="K119" s="2"/>
      <c r="L119" s="2">
        <f>2.2566476</f>
        <v>2.2566476</v>
      </c>
    </row>
    <row r="120" spans="1:12" ht="17">
      <c r="A120" s="1" t="str">
        <f t="shared" si="5"/>
        <v>2020/05/09</v>
      </c>
      <c r="B120" s="1" t="str">
        <f>"20:00"</f>
        <v>20:00</v>
      </c>
      <c r="C120" s="2"/>
      <c r="D120" s="2">
        <f>0.35812977</f>
        <v>0.35812977000000001</v>
      </c>
      <c r="E120" s="2"/>
      <c r="F120" s="2">
        <f>0.51808953</f>
        <v>0.51808953000000002</v>
      </c>
      <c r="G120" s="2"/>
      <c r="H120" s="2">
        <f>1.3275205</f>
        <v>1.3275205000000001</v>
      </c>
      <c r="I120" s="2"/>
      <c r="J120" s="2">
        <f>1.9408693</f>
        <v>1.9408692999999999</v>
      </c>
      <c r="K120" s="2"/>
      <c r="L120" s="2">
        <f>2.035902</f>
        <v>2.0359020000000001</v>
      </c>
    </row>
    <row r="121" spans="1:12" ht="17">
      <c r="A121" s="1" t="str">
        <f t="shared" si="5"/>
        <v>2020/05/09</v>
      </c>
      <c r="B121" s="1" t="str">
        <f>"21:00"</f>
        <v>21:00</v>
      </c>
      <c r="C121" s="2"/>
      <c r="D121" s="2">
        <f>0.66528136</f>
        <v>0.66528136000000004</v>
      </c>
      <c r="E121" s="2"/>
      <c r="F121" s="2">
        <f>0.7489955</f>
        <v>0.74899550000000004</v>
      </c>
      <c r="G121" s="2"/>
      <c r="H121" s="2">
        <f>2.6784217</f>
        <v>2.6784216999999999</v>
      </c>
      <c r="I121" s="2"/>
      <c r="J121" s="2">
        <f>2.6075795</f>
        <v>2.6075794999999999</v>
      </c>
      <c r="K121" s="2"/>
      <c r="L121" s="2">
        <f>2.5177927</f>
        <v>2.5177927000000002</v>
      </c>
    </row>
    <row r="122" spans="1:12" ht="17">
      <c r="A122" s="1" t="str">
        <f t="shared" si="5"/>
        <v>2020/05/09</v>
      </c>
      <c r="B122" s="1" t="str">
        <f>"22:00"</f>
        <v>22:00</v>
      </c>
      <c r="C122" s="2"/>
      <c r="D122" s="2">
        <f>0.8995525</f>
        <v>0.89955249999999998</v>
      </c>
      <c r="E122" s="2"/>
      <c r="F122" s="2">
        <f>0.53751236</f>
        <v>0.53751236000000002</v>
      </c>
      <c r="G122" s="2"/>
      <c r="H122" s="2">
        <f>1.9612257</f>
        <v>1.9612257</v>
      </c>
      <c r="I122" s="2"/>
      <c r="J122" s="2">
        <f>2.2172816</f>
        <v>2.2172816000000002</v>
      </c>
      <c r="K122" s="2"/>
      <c r="L122" s="2">
        <f>2.6852162</f>
        <v>2.6852162000000002</v>
      </c>
    </row>
    <row r="123" spans="1:12" ht="17">
      <c r="A123" s="1" t="str">
        <f t="shared" si="5"/>
        <v>2020/05/09</v>
      </c>
      <c r="B123" s="1" t="str">
        <f>"23:00"</f>
        <v>23:00</v>
      </c>
      <c r="C123" s="2"/>
      <c r="D123" s="2">
        <f>0.5198808</f>
        <v>0.51988080000000003</v>
      </c>
      <c r="E123" s="2"/>
      <c r="F123" s="2">
        <f>0.35947502</f>
        <v>0.35947501999999998</v>
      </c>
      <c r="G123" s="2"/>
      <c r="H123" s="2">
        <f>1.0294111</f>
        <v>1.0294110999999999</v>
      </c>
      <c r="I123" s="2"/>
      <c r="J123" s="2">
        <f>1.7187266</f>
        <v>1.7187266000000001</v>
      </c>
      <c r="K123" s="2"/>
      <c r="L123" s="2">
        <f>1.6095029</f>
        <v>1.6095029000000001</v>
      </c>
    </row>
    <row r="124" spans="1:12" ht="17">
      <c r="A124" s="1" t="str">
        <f t="shared" si="5"/>
        <v>2020/05/09</v>
      </c>
      <c r="B124" s="1" t="str">
        <f>"24:00"</f>
        <v>24:00</v>
      </c>
      <c r="C124" s="2"/>
      <c r="D124" s="2">
        <f>0.19219254</f>
        <v>0.19219254</v>
      </c>
      <c r="E124" s="2"/>
      <c r="F124" s="2">
        <f>0.60778517</f>
        <v>0.60778516999999999</v>
      </c>
      <c r="G124" s="2"/>
      <c r="H124" s="2">
        <f>0.90562475</f>
        <v>0.90562474999999998</v>
      </c>
      <c r="I124" s="2"/>
      <c r="J124" s="2">
        <f>1.4849774</f>
        <v>1.4849774</v>
      </c>
      <c r="K124" s="2"/>
      <c r="L124" s="2">
        <f>1.9705582</f>
        <v>1.9705581999999999</v>
      </c>
    </row>
    <row r="125" spans="1:12" ht="17">
      <c r="A125" s="1" t="str">
        <f t="shared" ref="A125:A148" si="6">"2020/05/10"</f>
        <v>2020/05/10</v>
      </c>
      <c r="B125" s="1" t="str">
        <f>"01:00"</f>
        <v>01:00</v>
      </c>
      <c r="C125" s="2">
        <f>0.6721202</f>
        <v>0.67212019999999995</v>
      </c>
      <c r="D125" s="2">
        <f>0.19567662</f>
        <v>0.19567662</v>
      </c>
      <c r="E125" s="2">
        <f>0.58056176</f>
        <v>0.58056176000000004</v>
      </c>
      <c r="F125" s="2">
        <f>0.555226</f>
        <v>0.555226</v>
      </c>
      <c r="G125" s="2">
        <f>1.7423093</f>
        <v>1.7423093000000001</v>
      </c>
      <c r="H125" s="2">
        <f>0.9464029</f>
        <v>0.94640290000000005</v>
      </c>
      <c r="I125" s="2">
        <f>2.1007125</f>
        <v>2.1007125000000002</v>
      </c>
      <c r="J125" s="2">
        <f>1.8454489</f>
        <v>1.8454489000000001</v>
      </c>
      <c r="K125" s="2">
        <f>2.3590055</f>
        <v>2.3590054999999999</v>
      </c>
      <c r="L125" s="2">
        <f>2.1734135</f>
        <v>2.1734135000000001</v>
      </c>
    </row>
    <row r="126" spans="1:12" ht="17">
      <c r="A126" s="1" t="str">
        <f t="shared" si="6"/>
        <v>2020/05/10</v>
      </c>
      <c r="B126" s="1" t="str">
        <f>"02:00"</f>
        <v>02:00</v>
      </c>
      <c r="C126" s="2"/>
      <c r="D126" s="2">
        <f>0.4382448</f>
        <v>0.43824479999999999</v>
      </c>
      <c r="E126" s="2"/>
      <c r="F126" s="2">
        <f>0.71119976</f>
        <v>0.71119975999999996</v>
      </c>
      <c r="G126" s="2"/>
      <c r="H126" s="2">
        <f>2.2451558</f>
        <v>2.2451558</v>
      </c>
      <c r="I126" s="2"/>
      <c r="J126" s="2">
        <f>2.4827175</f>
        <v>2.4827175000000001</v>
      </c>
      <c r="K126" s="2"/>
      <c r="L126" s="2">
        <f>2.8424714</f>
        <v>2.8424714</v>
      </c>
    </row>
    <row r="127" spans="1:12" ht="17">
      <c r="A127" s="1" t="str">
        <f t="shared" si="6"/>
        <v>2020/05/10</v>
      </c>
      <c r="B127" s="1" t="str">
        <f>"03:00"</f>
        <v>03:00</v>
      </c>
      <c r="C127" s="2"/>
      <c r="D127" s="2">
        <f>0.6561278</f>
        <v>0.65612780000000004</v>
      </c>
      <c r="E127" s="2"/>
      <c r="F127" s="2">
        <f>0.6151824</f>
        <v>0.61518240000000002</v>
      </c>
      <c r="G127" s="2"/>
      <c r="H127" s="2">
        <f>2.3273547</f>
        <v>2.3273546999999999</v>
      </c>
      <c r="I127" s="2"/>
      <c r="J127" s="2">
        <f>2.5773256</f>
        <v>2.5773256</v>
      </c>
      <c r="K127" s="2"/>
      <c r="L127" s="2">
        <f>2.6259449</f>
        <v>2.6259448999999999</v>
      </c>
    </row>
    <row r="128" spans="1:12" ht="17">
      <c r="A128" s="1" t="str">
        <f t="shared" si="6"/>
        <v>2020/05/10</v>
      </c>
      <c r="B128" s="1" t="str">
        <f>"04:00"</f>
        <v>04:00</v>
      </c>
      <c r="C128" s="2"/>
      <c r="D128" s="2">
        <f>0.5573618</f>
        <v>0.55736180000000002</v>
      </c>
      <c r="E128" s="2"/>
      <c r="F128" s="2">
        <f>0.68760175</f>
        <v>0.68760175000000001</v>
      </c>
      <c r="G128" s="2"/>
      <c r="H128" s="2">
        <f>2.470898</f>
        <v>2.470898</v>
      </c>
      <c r="I128" s="2"/>
      <c r="J128" s="2">
        <f>2.8022776</f>
        <v>2.8022776</v>
      </c>
      <c r="K128" s="2"/>
      <c r="L128" s="2">
        <f>2.9048362</f>
        <v>2.9048362000000001</v>
      </c>
    </row>
    <row r="129" spans="1:12" ht="17">
      <c r="A129" s="1" t="str">
        <f t="shared" si="6"/>
        <v>2020/05/10</v>
      </c>
      <c r="B129" s="1" t="str">
        <f>"05:00"</f>
        <v>05:00</v>
      </c>
      <c r="C129" s="2"/>
      <c r="D129" s="2">
        <f>0.6391079</f>
        <v>0.63910789999999995</v>
      </c>
      <c r="E129" s="2"/>
      <c r="F129" s="2">
        <f>0.6868448</f>
        <v>0.68684480000000003</v>
      </c>
      <c r="G129" s="2"/>
      <c r="H129" s="2">
        <f>2.6460452</f>
        <v>2.6460452000000001</v>
      </c>
      <c r="I129" s="2"/>
      <c r="J129" s="2">
        <f>2.6007633</f>
        <v>2.6007633000000001</v>
      </c>
      <c r="K129" s="2"/>
      <c r="L129" s="2">
        <f>2.9145987</f>
        <v>2.9145987</v>
      </c>
    </row>
    <row r="130" spans="1:12" ht="17">
      <c r="A130" s="1" t="str">
        <f t="shared" si="6"/>
        <v>2020/05/10</v>
      </c>
      <c r="B130" s="1" t="str">
        <f>"06:00"</f>
        <v>06:00</v>
      </c>
      <c r="C130" s="2"/>
      <c r="D130" s="2">
        <f>0.5023575</f>
        <v>0.50235750000000001</v>
      </c>
      <c r="E130" s="2"/>
      <c r="F130" s="2">
        <f>1.0651737</f>
        <v>1.0651736999999999</v>
      </c>
      <c r="G130" s="2"/>
      <c r="H130" s="2">
        <f>4.6081653</f>
        <v>4.6081652999999996</v>
      </c>
      <c r="I130" s="2"/>
      <c r="J130" s="2">
        <f>4.169799</f>
        <v>4.1697990000000003</v>
      </c>
      <c r="K130" s="2"/>
      <c r="L130" s="2">
        <f>5.084855</f>
        <v>5.0848550000000001</v>
      </c>
    </row>
    <row r="131" spans="1:12" ht="17">
      <c r="A131" s="1" t="str">
        <f t="shared" si="6"/>
        <v>2020/05/10</v>
      </c>
      <c r="B131" s="1" t="str">
        <f>"07:00"</f>
        <v>07:00</v>
      </c>
      <c r="C131" s="2"/>
      <c r="D131" s="2">
        <f>0.75730497</f>
        <v>0.75730496999999997</v>
      </c>
      <c r="E131" s="2"/>
      <c r="F131" s="2">
        <f>0.5345399</f>
        <v>0.53453989999999996</v>
      </c>
      <c r="G131" s="2"/>
      <c r="H131" s="2">
        <f>2.048463</f>
        <v>2.0484629999999999</v>
      </c>
      <c r="I131" s="2"/>
      <c r="J131" s="2">
        <f>2.3059843</f>
        <v>2.3059843</v>
      </c>
      <c r="K131" s="2"/>
      <c r="L131" s="2">
        <f>2.2617333</f>
        <v>2.2617332999999999</v>
      </c>
    </row>
    <row r="132" spans="1:12" ht="17">
      <c r="A132" s="1" t="str">
        <f t="shared" si="6"/>
        <v>2020/05/10</v>
      </c>
      <c r="B132" s="1" t="str">
        <f>"08:00"</f>
        <v>08:00</v>
      </c>
      <c r="C132" s="2"/>
      <c r="D132" s="2">
        <f>1.1720009</f>
        <v>1.1720009</v>
      </c>
      <c r="E132" s="2"/>
      <c r="F132" s="2">
        <f>0.82301384</f>
        <v>0.82301384</v>
      </c>
      <c r="G132" s="2"/>
      <c r="H132" s="2">
        <f>2.764074</f>
        <v>2.7640739999999999</v>
      </c>
      <c r="I132" s="2"/>
      <c r="J132" s="2">
        <f>2.3895695</f>
        <v>2.3895694999999999</v>
      </c>
      <c r="K132" s="2"/>
      <c r="L132" s="2">
        <f>2.8629096</f>
        <v>2.8629096000000001</v>
      </c>
    </row>
    <row r="133" spans="1:12" ht="17">
      <c r="A133" s="1" t="str">
        <f t="shared" si="6"/>
        <v>2020/05/10</v>
      </c>
      <c r="B133" s="1" t="str">
        <f>"09:00"</f>
        <v>09:00</v>
      </c>
      <c r="C133" s="2"/>
      <c r="D133" s="2">
        <f>1.7408834</f>
        <v>1.7408834</v>
      </c>
      <c r="E133" s="2"/>
      <c r="F133" s="2">
        <f>0.8601591</f>
        <v>0.86015909999999995</v>
      </c>
      <c r="G133" s="2"/>
      <c r="H133" s="2">
        <f>3.0189135</f>
        <v>3.0189135</v>
      </c>
      <c r="I133" s="2"/>
      <c r="J133" s="2">
        <f>2.9063394</f>
        <v>2.9063393999999998</v>
      </c>
      <c r="K133" s="2"/>
      <c r="L133" s="2">
        <f>3.295586</f>
        <v>3.2955860000000001</v>
      </c>
    </row>
    <row r="134" spans="1:12" ht="17">
      <c r="A134" s="1" t="str">
        <f t="shared" si="6"/>
        <v>2020/05/10</v>
      </c>
      <c r="B134" s="1" t="str">
        <f>"10:00"</f>
        <v>10:00</v>
      </c>
      <c r="C134" s="2"/>
      <c r="D134" s="2">
        <f>1.6636142</f>
        <v>1.6636142</v>
      </c>
      <c r="E134" s="2"/>
      <c r="F134" s="2">
        <f>0.728956</f>
        <v>0.72895600000000005</v>
      </c>
      <c r="G134" s="2"/>
      <c r="H134" s="2">
        <f>2.0436692</f>
        <v>2.0436692000000001</v>
      </c>
      <c r="I134" s="2"/>
      <c r="J134" s="2">
        <f>2.693068</f>
        <v>2.6930679999999998</v>
      </c>
      <c r="K134" s="2"/>
      <c r="L134" s="2">
        <f>3.1120644</f>
        <v>3.1120644</v>
      </c>
    </row>
    <row r="135" spans="1:12" ht="17">
      <c r="A135" s="1" t="str">
        <f t="shared" si="6"/>
        <v>2020/05/10</v>
      </c>
      <c r="B135" s="1" t="str">
        <f>"11:00"</f>
        <v>11:00</v>
      </c>
      <c r="C135" s="2"/>
      <c r="D135" s="2">
        <f>1.6660869</f>
        <v>1.6660869</v>
      </c>
      <c r="E135" s="2"/>
      <c r="F135" s="2">
        <f>0.72129595</f>
        <v>0.72129595000000002</v>
      </c>
      <c r="G135" s="2"/>
      <c r="H135" s="2">
        <f>1.9980842</f>
        <v>1.9980842000000001</v>
      </c>
      <c r="I135" s="2"/>
      <c r="J135" s="2">
        <f>2.555312</f>
        <v>2.5553119999999998</v>
      </c>
      <c r="K135" s="2"/>
      <c r="L135" s="2">
        <f>2.6156569</f>
        <v>2.6156568999999998</v>
      </c>
    </row>
    <row r="136" spans="1:12" ht="17">
      <c r="A136" s="1" t="str">
        <f t="shared" si="6"/>
        <v>2020/05/10</v>
      </c>
      <c r="B136" s="1" t="str">
        <f>"12:00"</f>
        <v>12:00</v>
      </c>
      <c r="C136" s="2"/>
      <c r="D136" s="2">
        <f>1.496201</f>
        <v>1.4962009999999999</v>
      </c>
      <c r="E136" s="2"/>
      <c r="F136" s="2">
        <f>0.62754446</f>
        <v>0.62754445999999997</v>
      </c>
      <c r="G136" s="2"/>
      <c r="H136" s="2">
        <f>2.2630365</f>
        <v>2.2630365000000001</v>
      </c>
      <c r="I136" s="2"/>
      <c r="J136" s="2">
        <f>2.5805564</f>
        <v>2.5805563999999999</v>
      </c>
      <c r="K136" s="2"/>
      <c r="L136" s="2">
        <f>2.5864706</f>
        <v>2.5864706000000002</v>
      </c>
    </row>
    <row r="137" spans="1:12" ht="17">
      <c r="A137" s="1" t="str">
        <f t="shared" si="6"/>
        <v>2020/05/10</v>
      </c>
      <c r="B137" s="1" t="str">
        <f>"13:00"</f>
        <v>13:00</v>
      </c>
      <c r="C137" s="2"/>
      <c r="D137" s="2">
        <f>0.6736143</f>
        <v>0.6736143</v>
      </c>
      <c r="E137" s="2"/>
      <c r="F137" s="2">
        <f>0.47745335</f>
        <v>0.47745335</v>
      </c>
      <c r="G137" s="2"/>
      <c r="H137" s="2">
        <f>1.8262675</f>
        <v>1.8262674999999999</v>
      </c>
      <c r="I137" s="2"/>
      <c r="J137" s="2">
        <f>1.9185508</f>
        <v>1.9185508</v>
      </c>
      <c r="K137" s="2"/>
      <c r="L137" s="2">
        <f>1.8945482</f>
        <v>1.8945482</v>
      </c>
    </row>
    <row r="138" spans="1:12" ht="17">
      <c r="A138" s="1" t="str">
        <f t="shared" si="6"/>
        <v>2020/05/10</v>
      </c>
      <c r="B138" s="1" t="str">
        <f>"14:00"</f>
        <v>14:00</v>
      </c>
      <c r="C138" s="2"/>
      <c r="D138" s="2">
        <f>0.48422948</f>
        <v>0.48422947999999999</v>
      </c>
      <c r="E138" s="2"/>
      <c r="F138" s="2">
        <f>0.51420337</f>
        <v>0.51420337000000005</v>
      </c>
      <c r="G138" s="2"/>
      <c r="H138" s="2">
        <f>1.2325975</f>
        <v>1.2325975</v>
      </c>
      <c r="I138" s="2"/>
      <c r="J138" s="2">
        <f>1.8087208</f>
        <v>1.8087207999999999</v>
      </c>
      <c r="K138" s="2"/>
      <c r="L138" s="2">
        <f>1.7699771</f>
        <v>1.7699771</v>
      </c>
    </row>
    <row r="139" spans="1:12" ht="17">
      <c r="A139" s="1" t="str">
        <f t="shared" si="6"/>
        <v>2020/05/10</v>
      </c>
      <c r="B139" s="1" t="str">
        <f>"15:00"</f>
        <v>15:00</v>
      </c>
      <c r="C139" s="2"/>
      <c r="D139" s="2">
        <f>0.40718517</f>
        <v>0.40718516999999999</v>
      </c>
      <c r="E139" s="2"/>
      <c r="F139" s="2">
        <f>0.39198628</f>
        <v>0.39198628000000002</v>
      </c>
      <c r="G139" s="2"/>
      <c r="H139" s="2">
        <f>1.0107574</f>
        <v>1.0107573999999999</v>
      </c>
      <c r="I139" s="2"/>
      <c r="J139" s="2">
        <f>1.42321</f>
        <v>1.4232100000000001</v>
      </c>
      <c r="K139" s="2"/>
      <c r="L139" s="2">
        <f>1.1945542</f>
        <v>1.1945542</v>
      </c>
    </row>
    <row r="140" spans="1:12" ht="17">
      <c r="A140" s="1" t="str">
        <f t="shared" si="6"/>
        <v>2020/05/10</v>
      </c>
      <c r="B140" s="1" t="str">
        <f>"16:00"</f>
        <v>16:00</v>
      </c>
      <c r="C140" s="2"/>
      <c r="D140" s="2">
        <f>0.5337814</f>
        <v>0.53378139999999996</v>
      </c>
      <c r="E140" s="2"/>
      <c r="F140" s="2">
        <f>0.61775935</f>
        <v>0.61775935000000004</v>
      </c>
      <c r="G140" s="2"/>
      <c r="H140" s="2">
        <f>0.745506</f>
        <v>0.745506</v>
      </c>
      <c r="I140" s="2"/>
      <c r="J140" s="2">
        <f>1.2129775</f>
        <v>1.2129775</v>
      </c>
      <c r="K140" s="2"/>
      <c r="L140" s="2">
        <f>1.2853944</f>
        <v>1.2853943999999999</v>
      </c>
    </row>
    <row r="141" spans="1:12" ht="17">
      <c r="A141" s="1" t="str">
        <f t="shared" si="6"/>
        <v>2020/05/10</v>
      </c>
      <c r="B141" s="1" t="str">
        <f>"17:00"</f>
        <v>17:00</v>
      </c>
      <c r="C141" s="2"/>
      <c r="D141" s="2">
        <f>0.38720313</f>
        <v>0.38720313000000001</v>
      </c>
      <c r="E141" s="2"/>
      <c r="F141" s="2">
        <f>0.658269</f>
        <v>0.65826899999999999</v>
      </c>
      <c r="G141" s="2"/>
      <c r="H141" s="2">
        <f>1.9544591</f>
        <v>1.9544591</v>
      </c>
      <c r="I141" s="2"/>
      <c r="J141" s="2">
        <f>2.1399865</f>
        <v>2.1399865</v>
      </c>
      <c r="K141" s="2"/>
      <c r="L141" s="2">
        <f>3.0545905</f>
        <v>3.0545905000000002</v>
      </c>
    </row>
    <row r="142" spans="1:12" ht="17">
      <c r="A142" s="1" t="str">
        <f t="shared" si="6"/>
        <v>2020/05/10</v>
      </c>
      <c r="B142" s="1" t="str">
        <f>"18:00"</f>
        <v>18:00</v>
      </c>
      <c r="C142" s="2"/>
      <c r="D142" s="2">
        <f>0.34006444</f>
        <v>0.34006444000000002</v>
      </c>
      <c r="E142" s="2"/>
      <c r="F142" s="2">
        <f>0.39799353</f>
        <v>0.39799352999999998</v>
      </c>
      <c r="G142" s="2"/>
      <c r="H142" s="2">
        <f>0.840627</f>
        <v>0.84062700000000001</v>
      </c>
      <c r="I142" s="2"/>
      <c r="J142" s="2">
        <f>1.6276455</f>
        <v>1.6276455000000001</v>
      </c>
      <c r="K142" s="2"/>
      <c r="L142" s="2">
        <f>1.9173869</f>
        <v>1.9173868999999999</v>
      </c>
    </row>
    <row r="143" spans="1:12" ht="17">
      <c r="A143" s="1" t="str">
        <f t="shared" si="6"/>
        <v>2020/05/10</v>
      </c>
      <c r="B143" s="1" t="str">
        <f>"19:00"</f>
        <v>19:00</v>
      </c>
      <c r="C143" s="2"/>
      <c r="D143" s="2">
        <f>0.19504863</f>
        <v>0.19504863</v>
      </c>
      <c r="E143" s="2"/>
      <c r="F143" s="2">
        <f>0.2897636</f>
        <v>0.28976360000000001</v>
      </c>
      <c r="G143" s="2"/>
      <c r="H143" s="2">
        <f>0.71692604</f>
        <v>0.71692604000000004</v>
      </c>
      <c r="I143" s="2"/>
      <c r="J143" s="2">
        <f>1.3059119</f>
        <v>1.3059118999999999</v>
      </c>
      <c r="K143" s="2"/>
      <c r="L143" s="2">
        <f>1.6091753</f>
        <v>1.6091753</v>
      </c>
    </row>
    <row r="144" spans="1:12" ht="17">
      <c r="A144" s="1" t="str">
        <f t="shared" si="6"/>
        <v>2020/05/10</v>
      </c>
      <c r="B144" s="1" t="str">
        <f>"20:00"</f>
        <v>20:00</v>
      </c>
      <c r="C144" s="2"/>
      <c r="D144" s="2">
        <f>0.29071593</f>
        <v>0.29071593000000001</v>
      </c>
      <c r="E144" s="2"/>
      <c r="F144" s="2">
        <f>0.49863392</f>
        <v>0.49863392000000001</v>
      </c>
      <c r="G144" s="2"/>
      <c r="H144" s="2">
        <f>0.868003</f>
        <v>0.86800299999999997</v>
      </c>
      <c r="I144" s="2"/>
      <c r="J144" s="2">
        <f>1.4361259</f>
        <v>1.4361259</v>
      </c>
      <c r="K144" s="2"/>
      <c r="L144" s="2">
        <f>1.4109173</f>
        <v>1.4109172999999999</v>
      </c>
    </row>
    <row r="145" spans="1:12" ht="17">
      <c r="A145" s="1" t="str">
        <f t="shared" si="6"/>
        <v>2020/05/10</v>
      </c>
      <c r="B145" s="1" t="str">
        <f>"21:00"</f>
        <v>21:00</v>
      </c>
      <c r="C145" s="2"/>
      <c r="D145" s="2">
        <f>0.25821054</f>
        <v>0.25821053999999999</v>
      </c>
      <c r="E145" s="2"/>
      <c r="F145" s="2">
        <f>0.40297458</f>
        <v>0.40297458000000003</v>
      </c>
      <c r="G145" s="2"/>
      <c r="H145" s="2">
        <f>0.77940685</f>
        <v>0.77940684999999998</v>
      </c>
      <c r="I145" s="2"/>
      <c r="J145" s="2">
        <f>1.7497821</f>
        <v>1.7497821</v>
      </c>
      <c r="K145" s="2"/>
      <c r="L145" s="2">
        <f>2.3283846</f>
        <v>2.3283846000000001</v>
      </c>
    </row>
    <row r="146" spans="1:12" ht="17">
      <c r="A146" s="1" t="str">
        <f t="shared" si="6"/>
        <v>2020/05/10</v>
      </c>
      <c r="B146" s="1" t="str">
        <f>"22:00"</f>
        <v>22:00</v>
      </c>
      <c r="C146" s="2"/>
      <c r="D146" s="2">
        <f>0.44370633</f>
        <v>0.44370632999999998</v>
      </c>
      <c r="E146" s="2"/>
      <c r="F146" s="2">
        <f>0.39162296</f>
        <v>0.39162296000000002</v>
      </c>
      <c r="G146" s="2"/>
      <c r="H146" s="2">
        <f>1.1268375</f>
        <v>1.1268374999999999</v>
      </c>
      <c r="I146" s="2"/>
      <c r="J146" s="2">
        <f>1.4296308</f>
        <v>1.4296308</v>
      </c>
      <c r="K146" s="2"/>
      <c r="L146" s="2">
        <f>1.6890016</f>
        <v>1.6890016000000001</v>
      </c>
    </row>
    <row r="147" spans="1:12" ht="17">
      <c r="A147" s="1" t="str">
        <f t="shared" si="6"/>
        <v>2020/05/10</v>
      </c>
      <c r="B147" s="1" t="str">
        <f>"23:00"</f>
        <v>23:00</v>
      </c>
      <c r="C147" s="2"/>
      <c r="D147" s="2">
        <f>0.36257315</f>
        <v>0.36257315000000001</v>
      </c>
      <c r="E147" s="2"/>
      <c r="F147" s="2">
        <f>0.3340259</f>
        <v>0.33402589999999999</v>
      </c>
      <c r="G147" s="2"/>
      <c r="H147" s="2">
        <f>0.9271938</f>
        <v>0.92719379999999996</v>
      </c>
      <c r="I147" s="2"/>
      <c r="J147" s="2">
        <f>1.2769511</f>
        <v>1.2769511</v>
      </c>
      <c r="K147" s="2"/>
      <c r="L147" s="2">
        <f>1.3338946</f>
        <v>1.3338946</v>
      </c>
    </row>
    <row r="148" spans="1:12" ht="17">
      <c r="A148" s="1" t="str">
        <f t="shared" si="6"/>
        <v>2020/05/10</v>
      </c>
      <c r="B148" s="1" t="str">
        <f>"24:00"</f>
        <v>24:00</v>
      </c>
      <c r="C148" s="2"/>
      <c r="D148" s="2">
        <f>0.26958472</f>
        <v>0.26958472</v>
      </c>
      <c r="E148" s="2"/>
      <c r="F148" s="2">
        <f>0.34205854</f>
        <v>0.34205854000000002</v>
      </c>
      <c r="G148" s="2"/>
      <c r="H148" s="2">
        <f>0.40658024</f>
        <v>0.40658023999999998</v>
      </c>
      <c r="I148" s="2"/>
      <c r="J148" s="2">
        <f>1.1784465</f>
        <v>1.1784465</v>
      </c>
      <c r="K148" s="2"/>
      <c r="L148" s="2">
        <f>1.8477641</f>
        <v>1.8477641</v>
      </c>
    </row>
    <row r="149" spans="1:12" ht="17">
      <c r="A149" s="1" t="str">
        <f t="shared" ref="A149:A172" si="7">"2020/05/11"</f>
        <v>2020/05/11</v>
      </c>
      <c r="B149" s="1" t="str">
        <f>"01:00"</f>
        <v>01:00</v>
      </c>
      <c r="C149" s="2">
        <f>0.29415378</f>
        <v>0.29415377999999998</v>
      </c>
      <c r="D149" s="2">
        <f>0.24440134</f>
        <v>0.24440133999999999</v>
      </c>
      <c r="E149" s="2">
        <f>0.43777004</f>
        <v>0.43777004000000003</v>
      </c>
      <c r="F149" s="2">
        <f>0.36358944</f>
        <v>0.36358943999999999</v>
      </c>
      <c r="G149" s="2">
        <f>1.0350183</f>
        <v>1.0350182999999999</v>
      </c>
      <c r="H149" s="2">
        <f>0.62705046</f>
        <v>0.62705045999999998</v>
      </c>
      <c r="I149" s="2">
        <f>1.5649033</f>
        <v>1.5649033000000001</v>
      </c>
      <c r="J149" s="2">
        <f>1.4244263</f>
        <v>1.4244262999999999</v>
      </c>
      <c r="K149" s="2">
        <f>1.9140425</f>
        <v>1.9140425000000001</v>
      </c>
      <c r="L149" s="2">
        <f>1.7187579</f>
        <v>1.7187578999999999</v>
      </c>
    </row>
    <row r="150" spans="1:12" ht="17">
      <c r="A150" s="1" t="str">
        <f t="shared" si="7"/>
        <v>2020/05/11</v>
      </c>
      <c r="B150" s="1" t="str">
        <f>"02:00"</f>
        <v>02:00</v>
      </c>
      <c r="C150" s="2"/>
      <c r="D150" s="2">
        <f>0.07470579</f>
        <v>7.4705789999999994E-2</v>
      </c>
      <c r="E150" s="2"/>
      <c r="F150" s="2">
        <f>0.24844304</f>
        <v>0.24844304</v>
      </c>
      <c r="G150" s="2"/>
      <c r="H150" s="2">
        <f>0.34994724</f>
        <v>0.34994723999999999</v>
      </c>
      <c r="I150" s="2"/>
      <c r="J150" s="2">
        <f>1.1680355</f>
        <v>1.1680355</v>
      </c>
      <c r="K150" s="2"/>
      <c r="L150" s="2">
        <f>1.241387</f>
        <v>1.241387</v>
      </c>
    </row>
    <row r="151" spans="1:12" ht="17">
      <c r="A151" s="1" t="str">
        <f t="shared" si="7"/>
        <v>2020/05/11</v>
      </c>
      <c r="B151" s="1" t="str">
        <f>"03:00"</f>
        <v>03:00</v>
      </c>
      <c r="C151" s="2"/>
      <c r="D151" s="2">
        <f>0.122754306</f>
        <v>0.12275430599999999</v>
      </c>
      <c r="E151" s="2"/>
      <c r="F151" s="2">
        <f>0.3249175</f>
        <v>0.32491750000000003</v>
      </c>
      <c r="G151" s="2"/>
      <c r="H151" s="2">
        <f>0.28695816</f>
        <v>0.28695816000000002</v>
      </c>
      <c r="I151" s="2"/>
      <c r="J151" s="2">
        <f>0.86892074</f>
        <v>0.86892073999999997</v>
      </c>
      <c r="K151" s="2"/>
      <c r="L151" s="2">
        <f>0.6988928</f>
        <v>0.69889279999999998</v>
      </c>
    </row>
    <row r="152" spans="1:12" ht="17">
      <c r="A152" s="1" t="str">
        <f t="shared" si="7"/>
        <v>2020/05/11</v>
      </c>
      <c r="B152" s="1" t="str">
        <f>"04:00"</f>
        <v>04:00</v>
      </c>
      <c r="C152" s="2"/>
      <c r="D152" s="2">
        <f>0.09706024</f>
        <v>9.7060240000000006E-2</v>
      </c>
      <c r="E152" s="2"/>
      <c r="F152" s="2">
        <f>0.2095686</f>
        <v>0.20956859999999999</v>
      </c>
      <c r="G152" s="2"/>
      <c r="H152" s="2">
        <f>0.32301396</f>
        <v>0.32301395999999999</v>
      </c>
      <c r="I152" s="2"/>
      <c r="J152" s="2">
        <f>1.2201846</f>
        <v>1.2201846000000001</v>
      </c>
      <c r="K152" s="2"/>
      <c r="L152" s="2">
        <f>1.5337981</f>
        <v>1.5337981000000001</v>
      </c>
    </row>
    <row r="153" spans="1:12" ht="17">
      <c r="A153" s="1" t="str">
        <f t="shared" si="7"/>
        <v>2020/05/11</v>
      </c>
      <c r="B153" s="1" t="str">
        <f>"05:00"</f>
        <v>05:00</v>
      </c>
      <c r="C153" s="2"/>
      <c r="D153" s="2">
        <f>0.17477675</f>
        <v>0.17477675000000001</v>
      </c>
      <c r="E153" s="2"/>
      <c r="F153" s="2">
        <f>0.3132572</f>
        <v>0.31325720000000001</v>
      </c>
      <c r="G153" s="2"/>
      <c r="H153" s="2">
        <f>0.4496052</f>
        <v>0.44960519999999998</v>
      </c>
      <c r="I153" s="2"/>
      <c r="J153" s="2">
        <f>0.8685355</f>
        <v>0.86853550000000002</v>
      </c>
      <c r="K153" s="2"/>
      <c r="L153" s="2">
        <f>1.2650672</f>
        <v>1.2650672000000001</v>
      </c>
    </row>
    <row r="154" spans="1:12" ht="17">
      <c r="A154" s="1" t="str">
        <f t="shared" si="7"/>
        <v>2020/05/11</v>
      </c>
      <c r="B154" s="1" t="str">
        <f>"06:00"</f>
        <v>06:00</v>
      </c>
      <c r="C154" s="2"/>
      <c r="D154" s="2">
        <f>0.28604272</f>
        <v>0.28604271999999997</v>
      </c>
      <c r="E154" s="2"/>
      <c r="F154" s="2">
        <f>0.30833852</f>
        <v>0.30833852</v>
      </c>
      <c r="G154" s="2"/>
      <c r="H154" s="2">
        <f>0.3584324</f>
        <v>0.35843239999999998</v>
      </c>
      <c r="I154" s="2"/>
      <c r="J154" s="2">
        <f>1.0337607</f>
        <v>1.0337607</v>
      </c>
      <c r="K154" s="2"/>
      <c r="L154" s="2">
        <f>1.2912712</f>
        <v>1.2912712</v>
      </c>
    </row>
    <row r="155" spans="1:12" ht="17">
      <c r="A155" s="1" t="str">
        <f t="shared" si="7"/>
        <v>2020/05/11</v>
      </c>
      <c r="B155" s="1" t="str">
        <f>"07:00"</f>
        <v>07:00</v>
      </c>
      <c r="C155" s="2"/>
      <c r="D155" s="2">
        <f>0.1163497</f>
        <v>0.1163497</v>
      </c>
      <c r="E155" s="2"/>
      <c r="F155" s="2">
        <f>0.31222758</f>
        <v>0.31222758</v>
      </c>
      <c r="G155" s="2"/>
      <c r="H155" s="2">
        <f>0.59418744</f>
        <v>0.59418744000000001</v>
      </c>
      <c r="I155" s="2"/>
      <c r="J155" s="2">
        <f>1.3052542</f>
        <v>1.3052542</v>
      </c>
      <c r="K155" s="2"/>
      <c r="L155" s="2">
        <f>2.0581207</f>
        <v>2.0581206999999999</v>
      </c>
    </row>
    <row r="156" spans="1:12" ht="17">
      <c r="A156" s="1" t="str">
        <f t="shared" si="7"/>
        <v>2020/05/11</v>
      </c>
      <c r="B156" s="1" t="str">
        <f>"08:00"</f>
        <v>08:00</v>
      </c>
      <c r="C156" s="2"/>
      <c r="D156" s="2">
        <f>0.43134093</f>
        <v>0.43134093000000001</v>
      </c>
      <c r="E156" s="2"/>
      <c r="F156" s="2">
        <f>0.39084935</f>
        <v>0.39084934999999998</v>
      </c>
      <c r="G156" s="2"/>
      <c r="H156" s="2">
        <f>1.2333548</f>
        <v>1.2333548000000001</v>
      </c>
      <c r="I156" s="2"/>
      <c r="J156" s="2">
        <f>1.5638171</f>
        <v>1.5638171000000001</v>
      </c>
      <c r="K156" s="2"/>
      <c r="L156" s="2">
        <f>1.9966891</f>
        <v>1.9966891</v>
      </c>
    </row>
    <row r="157" spans="1:12" ht="17">
      <c r="A157" s="1" t="str">
        <f t="shared" si="7"/>
        <v>2020/05/11</v>
      </c>
      <c r="B157" s="1" t="str">
        <f>"09:00"</f>
        <v>09:00</v>
      </c>
      <c r="C157" s="2"/>
      <c r="D157" s="2">
        <f>0.5536324</f>
        <v>0.55363240000000002</v>
      </c>
      <c r="E157" s="2"/>
      <c r="F157" s="2">
        <f>0.3840923</f>
        <v>0.3840923</v>
      </c>
      <c r="G157" s="2"/>
      <c r="H157" s="2">
        <f>1.2353485</f>
        <v>1.2353485</v>
      </c>
      <c r="I157" s="2"/>
      <c r="J157" s="2">
        <f>1.6819124</f>
        <v>1.6819124000000001</v>
      </c>
      <c r="K157" s="2"/>
      <c r="L157" s="2">
        <f>1.7748214</f>
        <v>1.7748214</v>
      </c>
    </row>
    <row r="158" spans="1:12" ht="17">
      <c r="A158" s="1" t="str">
        <f t="shared" si="7"/>
        <v>2020/05/11</v>
      </c>
      <c r="B158" s="1" t="str">
        <f>"10:00"</f>
        <v>10:00</v>
      </c>
      <c r="C158" s="2"/>
      <c r="D158" s="2">
        <f>0.4780924</f>
        <v>0.47809239999999997</v>
      </c>
      <c r="E158" s="2"/>
      <c r="F158" s="2">
        <f>0.37526268</f>
        <v>0.37526268000000002</v>
      </c>
      <c r="G158" s="2"/>
      <c r="H158" s="2">
        <f>1.0085317</f>
        <v>1.0085317</v>
      </c>
      <c r="I158" s="2"/>
      <c r="J158" s="2">
        <f>1.827543</f>
        <v>1.8275429999999999</v>
      </c>
      <c r="K158" s="2"/>
      <c r="L158" s="2">
        <f>1.6598151</f>
        <v>1.6598151000000001</v>
      </c>
    </row>
    <row r="159" spans="1:12" ht="17">
      <c r="A159" s="1" t="str">
        <f t="shared" si="7"/>
        <v>2020/05/11</v>
      </c>
      <c r="B159" s="1" t="str">
        <f>"11:00"</f>
        <v>11:00</v>
      </c>
      <c r="C159" s="2"/>
      <c r="D159" s="2">
        <f>0.43376857</f>
        <v>0.43376857000000002</v>
      </c>
      <c r="E159" s="2"/>
      <c r="F159" s="2">
        <f>0.4619339</f>
        <v>0.46193390000000001</v>
      </c>
      <c r="G159" s="2"/>
      <c r="H159" s="2">
        <f>1.3890141</f>
        <v>1.3890141</v>
      </c>
      <c r="I159" s="2"/>
      <c r="J159" s="2">
        <f>1.9474946</f>
        <v>1.9474946</v>
      </c>
      <c r="K159" s="2"/>
      <c r="L159" s="2">
        <f>2.089888</f>
        <v>2.0898880000000002</v>
      </c>
    </row>
    <row r="160" spans="1:12" ht="17">
      <c r="A160" s="1" t="str">
        <f t="shared" si="7"/>
        <v>2020/05/11</v>
      </c>
      <c r="B160" s="1" t="str">
        <f>"12:00"</f>
        <v>12:00</v>
      </c>
      <c r="C160" s="2"/>
      <c r="D160" s="2">
        <f>0.23338273</f>
        <v>0.23338273000000001</v>
      </c>
      <c r="E160" s="2"/>
      <c r="F160" s="2">
        <f>0.45666105</f>
        <v>0.45666105000000001</v>
      </c>
      <c r="G160" s="2"/>
      <c r="H160" s="2">
        <f>1.2928905</f>
        <v>1.2928904999999999</v>
      </c>
      <c r="I160" s="2"/>
      <c r="J160" s="2">
        <f>1.8021334</f>
        <v>1.8021334</v>
      </c>
      <c r="K160" s="2"/>
      <c r="L160" s="2">
        <f>2.0386546</f>
        <v>2.0386546000000001</v>
      </c>
    </row>
    <row r="161" spans="1:12" ht="17">
      <c r="A161" s="1" t="str">
        <f t="shared" si="7"/>
        <v>2020/05/11</v>
      </c>
      <c r="B161" s="1" t="str">
        <f>"13:00"</f>
        <v>13:00</v>
      </c>
      <c r="C161" s="2"/>
      <c r="D161" s="2">
        <f>0.44018537</f>
        <v>0.44018537000000002</v>
      </c>
      <c r="E161" s="2"/>
      <c r="F161" s="2">
        <f>0.5996215</f>
        <v>0.59962150000000003</v>
      </c>
      <c r="G161" s="2"/>
      <c r="H161" s="2">
        <f>1.5043561</f>
        <v>1.5043561000000001</v>
      </c>
      <c r="I161" s="2"/>
      <c r="J161" s="2">
        <f>2.1172016</f>
        <v>2.1172016</v>
      </c>
      <c r="K161" s="2"/>
      <c r="L161" s="2">
        <f>2.40863</f>
        <v>2.40863</v>
      </c>
    </row>
    <row r="162" spans="1:12" ht="17">
      <c r="A162" s="1" t="str">
        <f t="shared" si="7"/>
        <v>2020/05/11</v>
      </c>
      <c r="B162" s="1" t="str">
        <f>"14:00"</f>
        <v>14:00</v>
      </c>
      <c r="C162" s="2"/>
      <c r="D162" s="2">
        <f>0.33046648</f>
        <v>0.33046648000000001</v>
      </c>
      <c r="E162" s="2"/>
      <c r="F162" s="2">
        <f>0.55046815</f>
        <v>0.55046815000000004</v>
      </c>
      <c r="G162" s="2"/>
      <c r="H162" s="2">
        <f>1.1699799</f>
        <v>1.1699799</v>
      </c>
      <c r="I162" s="2"/>
      <c r="J162" s="2">
        <f>1.5656418</f>
        <v>1.5656418000000001</v>
      </c>
      <c r="K162" s="2"/>
      <c r="L162" s="2">
        <f>1.6600165</f>
        <v>1.6600165</v>
      </c>
    </row>
    <row r="163" spans="1:12" ht="17">
      <c r="A163" s="1" t="str">
        <f t="shared" si="7"/>
        <v>2020/05/11</v>
      </c>
      <c r="B163" s="1" t="str">
        <f>"15:00"</f>
        <v>15:00</v>
      </c>
      <c r="C163" s="2"/>
      <c r="D163" s="2">
        <f>0.15029073</f>
        <v>0.15029073000000001</v>
      </c>
      <c r="E163" s="2"/>
      <c r="F163" s="2">
        <f>0.5150682</f>
        <v>0.51506819999999998</v>
      </c>
      <c r="G163" s="2"/>
      <c r="H163" s="2">
        <f>0.7432999</f>
        <v>0.74329990000000001</v>
      </c>
      <c r="I163" s="2"/>
      <c r="J163" s="2">
        <f>1.5324278</f>
        <v>1.5324278</v>
      </c>
      <c r="K163" s="2"/>
      <c r="L163" s="2">
        <f>2.4320703</f>
        <v>2.4320702999999999</v>
      </c>
    </row>
    <row r="164" spans="1:12" ht="17">
      <c r="A164" s="1" t="str">
        <f t="shared" si="7"/>
        <v>2020/05/11</v>
      </c>
      <c r="B164" s="1" t="str">
        <f>"16:00"</f>
        <v>16:00</v>
      </c>
      <c r="C164" s="2"/>
      <c r="D164" s="2">
        <f>0.21524012</f>
        <v>0.21524012000000001</v>
      </c>
      <c r="E164" s="2"/>
      <c r="F164" s="2">
        <f>0.40537456</f>
        <v>0.40537455999999999</v>
      </c>
      <c r="G164" s="2"/>
      <c r="H164" s="2">
        <f>0.634143</f>
        <v>0.63414300000000001</v>
      </c>
      <c r="I164" s="2"/>
      <c r="J164" s="2">
        <f>1.3578662</f>
        <v>1.3578661999999999</v>
      </c>
      <c r="K164" s="2"/>
      <c r="L164" s="2">
        <f>1.7264416</f>
        <v>1.7264416</v>
      </c>
    </row>
    <row r="165" spans="1:12" ht="17">
      <c r="A165" s="1" t="str">
        <f t="shared" si="7"/>
        <v>2020/05/11</v>
      </c>
      <c r="B165" s="1" t="str">
        <f>"17:00"</f>
        <v>17:00</v>
      </c>
      <c r="C165" s="2"/>
      <c r="D165" s="2">
        <f>0.2090927</f>
        <v>0.20909269999999999</v>
      </c>
      <c r="E165" s="2"/>
      <c r="F165" s="2">
        <f>0.5857545</f>
        <v>0.58575449999999996</v>
      </c>
      <c r="G165" s="2"/>
      <c r="H165" s="2">
        <f>1.033928</f>
        <v>1.033928</v>
      </c>
      <c r="I165" s="2"/>
      <c r="J165" s="2">
        <f>1.5015237</f>
        <v>1.5015236999999999</v>
      </c>
      <c r="K165" s="2"/>
      <c r="L165" s="2">
        <f>1.7682868</f>
        <v>1.7682868</v>
      </c>
    </row>
    <row r="166" spans="1:12" ht="17">
      <c r="A166" s="1" t="str">
        <f t="shared" si="7"/>
        <v>2020/05/11</v>
      </c>
      <c r="B166" s="1" t="str">
        <f>"18:00"</f>
        <v>18:00</v>
      </c>
      <c r="C166" s="2"/>
      <c r="D166" s="2">
        <f>0.43968377</f>
        <v>0.43968376999999997</v>
      </c>
      <c r="E166" s="2"/>
      <c r="F166" s="2">
        <f>0.46381634</f>
        <v>0.46381633999999999</v>
      </c>
      <c r="G166" s="2"/>
      <c r="H166" s="2">
        <f>1.4515786</f>
        <v>1.4515785999999999</v>
      </c>
      <c r="I166" s="2"/>
      <c r="J166" s="2">
        <f>1.9359882</f>
        <v>1.9359881999999999</v>
      </c>
      <c r="K166" s="2"/>
      <c r="L166" s="2">
        <f>2.0203707</f>
        <v>2.0203707</v>
      </c>
    </row>
    <row r="167" spans="1:12" ht="17">
      <c r="A167" s="1" t="str">
        <f t="shared" si="7"/>
        <v>2020/05/11</v>
      </c>
      <c r="B167" s="1" t="str">
        <f>"19:00"</f>
        <v>19:00</v>
      </c>
      <c r="C167" s="2"/>
      <c r="D167" s="2">
        <f>0.45110616</f>
        <v>0.45110615999999998</v>
      </c>
      <c r="E167" s="2"/>
      <c r="F167" s="2">
        <f>0.6178602</f>
        <v>0.61786019999999997</v>
      </c>
      <c r="G167" s="2"/>
      <c r="H167" s="2">
        <f>1.5422404</f>
        <v>1.5422404000000001</v>
      </c>
      <c r="I167" s="2"/>
      <c r="J167" s="2">
        <f>2.117767</f>
        <v>2.1177670000000002</v>
      </c>
      <c r="K167" s="2"/>
      <c r="L167" s="2">
        <f>2.253215</f>
        <v>2.253215</v>
      </c>
    </row>
    <row r="168" spans="1:12" ht="17">
      <c r="A168" s="1" t="str">
        <f t="shared" si="7"/>
        <v>2020/05/11</v>
      </c>
      <c r="B168" s="1" t="str">
        <f>"20:00"</f>
        <v>20:00</v>
      </c>
      <c r="C168" s="2"/>
      <c r="D168" s="2">
        <f>0.16044661</f>
        <v>0.16044660999999999</v>
      </c>
      <c r="E168" s="2"/>
      <c r="F168" s="2">
        <f>0.6434744</f>
        <v>0.6434744</v>
      </c>
      <c r="G168" s="2"/>
      <c r="H168" s="2">
        <f>2.85983</f>
        <v>2.8598300000000001</v>
      </c>
      <c r="I168" s="2"/>
      <c r="J168" s="2">
        <f>2.2777803</f>
        <v>2.2777802999999999</v>
      </c>
      <c r="K168" s="2"/>
      <c r="L168" s="2">
        <f>3.2953908</f>
        <v>3.2953907999999998</v>
      </c>
    </row>
    <row r="169" spans="1:12" ht="17">
      <c r="A169" s="1" t="str">
        <f t="shared" si="7"/>
        <v>2020/05/11</v>
      </c>
      <c r="B169" s="1" t="str">
        <f>"21:00"</f>
        <v>21:00</v>
      </c>
      <c r="C169" s="2"/>
      <c r="D169" s="2">
        <f>0.27436784</f>
        <v>0.27436783999999997</v>
      </c>
      <c r="E169" s="2"/>
      <c r="F169" s="2">
        <f>0.6969274</f>
        <v>0.69692739999999997</v>
      </c>
      <c r="G169" s="2"/>
      <c r="H169" s="2">
        <f>1.6660542</f>
        <v>1.6660542</v>
      </c>
      <c r="I169" s="2"/>
      <c r="J169" s="2">
        <f>1.9554187</f>
        <v>1.9554187000000001</v>
      </c>
      <c r="K169" s="2"/>
      <c r="L169" s="2">
        <f>2.9530134</f>
        <v>2.9530134000000001</v>
      </c>
    </row>
    <row r="170" spans="1:12" ht="17">
      <c r="A170" s="1" t="str">
        <f t="shared" si="7"/>
        <v>2020/05/11</v>
      </c>
      <c r="B170" s="1" t="str">
        <f>"22:00"</f>
        <v>22:00</v>
      </c>
      <c r="C170" s="2"/>
      <c r="D170" s="2">
        <f>0.571956</f>
        <v>0.57195600000000002</v>
      </c>
      <c r="E170" s="2"/>
      <c r="F170" s="2">
        <f>0.4758111</f>
        <v>0.47581109999999999</v>
      </c>
      <c r="G170" s="2"/>
      <c r="H170" s="2">
        <f>1.1283125</f>
        <v>1.1283125000000001</v>
      </c>
      <c r="I170" s="2"/>
      <c r="J170" s="2">
        <f>1.5854412</f>
        <v>1.5854412</v>
      </c>
      <c r="K170" s="2"/>
      <c r="L170" s="2">
        <f>2.7926834</f>
        <v>2.7926834</v>
      </c>
    </row>
    <row r="171" spans="1:12" ht="17">
      <c r="A171" s="1" t="str">
        <f t="shared" si="7"/>
        <v>2020/05/11</v>
      </c>
      <c r="B171" s="1" t="str">
        <f>"23:00"</f>
        <v>23:00</v>
      </c>
      <c r="C171" s="2"/>
      <c r="D171" s="2">
        <f>0.3443701</f>
        <v>0.34437010000000001</v>
      </c>
      <c r="E171" s="2"/>
      <c r="F171" s="2">
        <f>0.44640443</f>
        <v>0.44640443000000002</v>
      </c>
      <c r="G171" s="2"/>
      <c r="H171" s="2">
        <f>1.1928525</f>
        <v>1.1928525000000001</v>
      </c>
      <c r="I171" s="2"/>
      <c r="J171" s="2">
        <f>1.6282316</f>
        <v>1.6282315999999999</v>
      </c>
      <c r="K171" s="2"/>
      <c r="L171" s="2">
        <f>1.595333</f>
        <v>1.5953329999999999</v>
      </c>
    </row>
    <row r="172" spans="1:12" ht="17">
      <c r="A172" s="1" t="str">
        <f t="shared" si="7"/>
        <v>2020/05/11</v>
      </c>
      <c r="B172" s="1" t="str">
        <f>"24:00"</f>
        <v>24:00</v>
      </c>
      <c r="C172" s="2"/>
      <c r="D172" s="2">
        <f>0.2261768</f>
        <v>0.22617680000000001</v>
      </c>
      <c r="E172" s="2"/>
      <c r="F172" s="2">
        <f>0.3567592</f>
        <v>0.3567592</v>
      </c>
      <c r="G172" s="2"/>
      <c r="H172" s="2">
        <f>0.7655314</f>
        <v>0.76553139999999997</v>
      </c>
      <c r="I172" s="2"/>
      <c r="J172" s="2">
        <f>1.2703713</f>
        <v>1.2703713000000001</v>
      </c>
      <c r="K172" s="2"/>
      <c r="L172" s="2">
        <f>1.664405</f>
        <v>1.6644049999999999</v>
      </c>
    </row>
    <row r="173" spans="1:12" ht="17">
      <c r="A173" s="1" t="str">
        <f t="shared" ref="A173:A196" si="8">"2020/05/12"</f>
        <v>2020/05/12</v>
      </c>
      <c r="B173" s="1" t="str">
        <f>"01:00"</f>
        <v>01:00</v>
      </c>
      <c r="C173" s="2">
        <f>0.41534123</f>
        <v>0.41534123000000001</v>
      </c>
      <c r="D173" s="2">
        <f>0.13359952</f>
        <v>0.13359952</v>
      </c>
      <c r="E173" s="2">
        <f>0.5440492</f>
        <v>0.54404920000000001</v>
      </c>
      <c r="F173" s="2">
        <f>0.30740365</f>
        <v>0.30740364999999997</v>
      </c>
      <c r="G173" s="2">
        <f>1.6152303</f>
        <v>1.6152302999999999</v>
      </c>
      <c r="H173" s="2">
        <f>0.5557248</f>
        <v>0.55572480000000002</v>
      </c>
      <c r="I173" s="2">
        <f>1.978073</f>
        <v>1.978073</v>
      </c>
      <c r="J173" s="2">
        <f>1.0913384</f>
        <v>1.0913383999999999</v>
      </c>
      <c r="K173" s="2">
        <f>2.5171106</f>
        <v>2.5171106000000001</v>
      </c>
      <c r="L173" s="2">
        <f>0.9820912</f>
        <v>0.98209120000000005</v>
      </c>
    </row>
    <row r="174" spans="1:12" ht="17">
      <c r="A174" s="1" t="str">
        <f t="shared" si="8"/>
        <v>2020/05/12</v>
      </c>
      <c r="B174" s="1" t="str">
        <f>"02:00"</f>
        <v>02:00</v>
      </c>
      <c r="C174" s="2"/>
      <c r="D174" s="2">
        <f>0.2131799</f>
        <v>0.21317990000000001</v>
      </c>
      <c r="E174" s="2"/>
      <c r="F174" s="2">
        <f>0.5144327</f>
        <v>0.51443269999999997</v>
      </c>
      <c r="G174" s="2"/>
      <c r="H174" s="2">
        <f>0.57943755</f>
        <v>0.57943754999999997</v>
      </c>
      <c r="I174" s="2"/>
      <c r="J174" s="2">
        <f>0.8420806</f>
        <v>0.84208059999999996</v>
      </c>
      <c r="K174" s="2"/>
      <c r="L174" s="2">
        <f>0.40647838</f>
        <v>0.40647837999999997</v>
      </c>
    </row>
    <row r="175" spans="1:12" ht="17">
      <c r="A175" s="1" t="str">
        <f t="shared" si="8"/>
        <v>2020/05/12</v>
      </c>
      <c r="B175" s="1" t="str">
        <f>"03:00"</f>
        <v>03:00</v>
      </c>
      <c r="C175" s="2"/>
      <c r="D175" s="2">
        <f>0.1773577</f>
        <v>0.17735770000000001</v>
      </c>
      <c r="E175" s="2"/>
      <c r="F175" s="2">
        <f>0.34627035</f>
        <v>0.34627035</v>
      </c>
      <c r="G175" s="2"/>
      <c r="H175" s="2">
        <f>0.60594964</f>
        <v>0.60594963999999996</v>
      </c>
      <c r="I175" s="2"/>
      <c r="J175" s="2">
        <f>0.8475635</f>
        <v>0.84756350000000003</v>
      </c>
      <c r="K175" s="2"/>
      <c r="L175" s="2">
        <f>1.2181538</f>
        <v>1.2181538000000001</v>
      </c>
    </row>
    <row r="176" spans="1:12" ht="17">
      <c r="A176" s="1" t="str">
        <f t="shared" si="8"/>
        <v>2020/05/12</v>
      </c>
      <c r="B176" s="1" t="str">
        <f>"04:00"</f>
        <v>04:00</v>
      </c>
      <c r="C176" s="2"/>
      <c r="D176" s="2">
        <f>0.323966</f>
        <v>0.32396599999999998</v>
      </c>
      <c r="E176" s="2"/>
      <c r="F176" s="2">
        <f>0.32803252</f>
        <v>0.32803251999999999</v>
      </c>
      <c r="G176" s="2"/>
      <c r="H176" s="2">
        <f>0.7904151</f>
        <v>0.79041510000000004</v>
      </c>
      <c r="I176" s="2"/>
      <c r="J176" s="2">
        <f>0.6737145</f>
        <v>0.67371449999999999</v>
      </c>
      <c r="K176" s="2"/>
      <c r="L176" s="2">
        <f>3.3050601</f>
        <v>3.3050600999999999</v>
      </c>
    </row>
    <row r="177" spans="1:12" ht="17">
      <c r="A177" s="1" t="str">
        <f t="shared" si="8"/>
        <v>2020/05/12</v>
      </c>
      <c r="B177" s="1" t="str">
        <f>"05:00"</f>
        <v>05:00</v>
      </c>
      <c r="C177" s="2"/>
      <c r="D177" s="2">
        <f>0.17672032</f>
        <v>0.17672031999999999</v>
      </c>
      <c r="E177" s="2"/>
      <c r="F177" s="2">
        <f>0.42031905</f>
        <v>0.42031905000000003</v>
      </c>
      <c r="G177" s="2"/>
      <c r="H177" s="2">
        <f>1.1061323</f>
        <v>1.1061323000000001</v>
      </c>
      <c r="I177" s="2"/>
      <c r="J177" s="2">
        <f>1.3816144</f>
        <v>1.3816143999999999</v>
      </c>
      <c r="K177" s="2"/>
      <c r="L177" s="2">
        <f>2.1559668</f>
        <v>2.1559667999999999</v>
      </c>
    </row>
    <row r="178" spans="1:12" ht="17">
      <c r="A178" s="1" t="str">
        <f t="shared" si="8"/>
        <v>2020/05/12</v>
      </c>
      <c r="B178" s="1" t="str">
        <f>"06:00"</f>
        <v>06:00</v>
      </c>
      <c r="C178" s="2"/>
      <c r="D178" s="2">
        <f>0.18909799</f>
        <v>0.18909798999999999</v>
      </c>
      <c r="E178" s="2"/>
      <c r="F178" s="2">
        <f>0.37456214</f>
        <v>0.37456213999999999</v>
      </c>
      <c r="G178" s="2"/>
      <c r="H178" s="2">
        <f>0.73382086</f>
        <v>0.73382086000000002</v>
      </c>
      <c r="I178" s="2"/>
      <c r="J178" s="2">
        <f>1.0312431</f>
        <v>1.0312431</v>
      </c>
      <c r="K178" s="2"/>
      <c r="L178" s="2">
        <f>1.9811316</f>
        <v>1.9811316000000001</v>
      </c>
    </row>
    <row r="179" spans="1:12" ht="17">
      <c r="A179" s="1" t="str">
        <f t="shared" si="8"/>
        <v>2020/05/12</v>
      </c>
      <c r="B179" s="1" t="str">
        <f>"07:00"</f>
        <v>07:00</v>
      </c>
      <c r="C179" s="2"/>
      <c r="D179" s="2">
        <f>0.5328387</f>
        <v>0.5328387</v>
      </c>
      <c r="E179" s="2"/>
      <c r="F179" s="2">
        <f>0.61825824</f>
        <v>0.61825823999999996</v>
      </c>
      <c r="G179" s="2"/>
      <c r="H179" s="2">
        <f>2.3273356</f>
        <v>2.3273356000000001</v>
      </c>
      <c r="I179" s="2"/>
      <c r="J179" s="2">
        <f>2.4774582</f>
        <v>2.4774582000000001</v>
      </c>
      <c r="K179" s="2"/>
      <c r="L179" s="2">
        <f>3.0686464</f>
        <v>3.0686464</v>
      </c>
    </row>
    <row r="180" spans="1:12" ht="17">
      <c r="A180" s="1" t="str">
        <f t="shared" si="8"/>
        <v>2020/05/12</v>
      </c>
      <c r="B180" s="1" t="str">
        <f>"08:00"</f>
        <v>08:00</v>
      </c>
      <c r="C180" s="2"/>
      <c r="D180" s="2">
        <f>0.24186148</f>
        <v>0.24186147999999999</v>
      </c>
      <c r="E180" s="2"/>
      <c r="F180" s="2">
        <f>0.42857435</f>
        <v>0.42857434999999999</v>
      </c>
      <c r="G180" s="2"/>
      <c r="H180" s="2">
        <f>1.0602823</f>
        <v>1.0602822999999999</v>
      </c>
      <c r="I180" s="2"/>
      <c r="J180" s="2">
        <f>1.2397172</f>
        <v>1.2397172000000001</v>
      </c>
      <c r="K180" s="2"/>
      <c r="L180" s="2">
        <f>1.4949042</f>
        <v>1.4949041999999999</v>
      </c>
    </row>
    <row r="181" spans="1:12" ht="17">
      <c r="A181" s="1" t="str">
        <f t="shared" si="8"/>
        <v>2020/05/12</v>
      </c>
      <c r="B181" s="1" t="str">
        <f>"09:00"</f>
        <v>09:00</v>
      </c>
      <c r="C181" s="2"/>
      <c r="D181" s="2">
        <f>0.37144694</f>
        <v>0.37144694</v>
      </c>
      <c r="E181" s="2"/>
      <c r="F181" s="2">
        <f>0.5688349</f>
        <v>0.56883490000000003</v>
      </c>
      <c r="G181" s="2"/>
      <c r="H181" s="2">
        <f>1.6452793</f>
        <v>1.6452792999999999</v>
      </c>
      <c r="I181" s="2"/>
      <c r="J181" s="2">
        <f>1.9500257</f>
        <v>1.9500257000000001</v>
      </c>
      <c r="K181" s="2"/>
      <c r="L181" s="2">
        <f>2.8708563</f>
        <v>2.8708562999999998</v>
      </c>
    </row>
    <row r="182" spans="1:12" ht="17">
      <c r="A182" s="1" t="str">
        <f t="shared" si="8"/>
        <v>2020/05/12</v>
      </c>
      <c r="B182" s="1" t="str">
        <f>"10:00"</f>
        <v>10:00</v>
      </c>
      <c r="C182" s="2"/>
      <c r="D182" s="2">
        <f>0.6787212</f>
        <v>0.67872120000000002</v>
      </c>
      <c r="E182" s="2"/>
      <c r="F182" s="2">
        <f>0.58713716</f>
        <v>0.58713716000000005</v>
      </c>
      <c r="G182" s="2"/>
      <c r="H182" s="2">
        <f>2.2146692</f>
        <v>2.2146691999999999</v>
      </c>
      <c r="I182" s="2"/>
      <c r="J182" s="2">
        <f>2.4046843</f>
        <v>2.4046843</v>
      </c>
      <c r="K182" s="2"/>
      <c r="L182" s="2">
        <f>3.0517452</f>
        <v>3.0517452</v>
      </c>
    </row>
    <row r="183" spans="1:12" ht="17">
      <c r="A183" s="1" t="str">
        <f t="shared" si="8"/>
        <v>2020/05/12</v>
      </c>
      <c r="B183" s="1" t="str">
        <f>"11:00"</f>
        <v>11:00</v>
      </c>
      <c r="C183" s="2"/>
      <c r="D183" s="2">
        <f>0.67579967</f>
        <v>0.67579966999999996</v>
      </c>
      <c r="E183" s="2"/>
      <c r="F183" s="2">
        <f>0.7032471</f>
        <v>0.70324710000000001</v>
      </c>
      <c r="G183" s="2"/>
      <c r="H183" s="2">
        <f>2.7882948</f>
        <v>2.7882948000000001</v>
      </c>
      <c r="I183" s="2"/>
      <c r="J183" s="2">
        <f>2.8350718</f>
        <v>2.8350718000000001</v>
      </c>
      <c r="K183" s="2"/>
      <c r="L183" s="2">
        <f>3.2294028</f>
        <v>3.2294027999999999</v>
      </c>
    </row>
    <row r="184" spans="1:12" ht="17">
      <c r="A184" s="1" t="str">
        <f t="shared" si="8"/>
        <v>2020/05/12</v>
      </c>
      <c r="B184" s="1" t="str">
        <f>"12:00"</f>
        <v>12:00</v>
      </c>
      <c r="C184" s="2"/>
      <c r="D184" s="2">
        <f>0.46870464</f>
        <v>0.46870464000000001</v>
      </c>
      <c r="E184" s="2"/>
      <c r="F184" s="2">
        <f>0.5031546</f>
        <v>0.50315460000000001</v>
      </c>
      <c r="G184" s="2"/>
      <c r="H184" s="2">
        <f>2.108459</f>
        <v>2.1084589999999999</v>
      </c>
      <c r="I184" s="2"/>
      <c r="J184" s="2">
        <f>2.1497936</f>
        <v>2.1497936000000002</v>
      </c>
      <c r="K184" s="2"/>
      <c r="L184" s="2">
        <f>3.0629585</f>
        <v>3.0629585000000001</v>
      </c>
    </row>
    <row r="185" spans="1:12" ht="17">
      <c r="A185" s="1" t="str">
        <f t="shared" si="8"/>
        <v>2020/05/12</v>
      </c>
      <c r="B185" s="1" t="str">
        <f>"13:00"</f>
        <v>13:00</v>
      </c>
      <c r="C185" s="2"/>
      <c r="D185" s="2">
        <f>0.34491828</f>
        <v>0.34491828000000002</v>
      </c>
      <c r="E185" s="2"/>
      <c r="F185" s="2">
        <f>0.4478877</f>
        <v>0.4478877</v>
      </c>
      <c r="G185" s="2"/>
      <c r="H185" s="2">
        <f>1.1658195</f>
        <v>1.1658195</v>
      </c>
      <c r="I185" s="2"/>
      <c r="J185" s="2">
        <f>1.6569879</f>
        <v>1.6569879000000001</v>
      </c>
      <c r="K185" s="2"/>
      <c r="L185" s="2">
        <f>3.1348944</f>
        <v>3.1348943999999999</v>
      </c>
    </row>
    <row r="186" spans="1:12" ht="17">
      <c r="A186" s="1" t="str">
        <f t="shared" si="8"/>
        <v>2020/05/12</v>
      </c>
      <c r="B186" s="1" t="str">
        <f>"14:00"</f>
        <v>14:00</v>
      </c>
      <c r="C186" s="2"/>
      <c r="D186" s="2">
        <f>0.23919874</f>
        <v>0.23919873999999999</v>
      </c>
      <c r="E186" s="2"/>
      <c r="F186" s="2">
        <f>0.41545326</f>
        <v>0.41545325999999999</v>
      </c>
      <c r="G186" s="2"/>
      <c r="H186" s="2">
        <f>0.94557834</f>
        <v>0.94557833999999996</v>
      </c>
      <c r="I186" s="2"/>
      <c r="J186" s="2">
        <f>1.6870208</f>
        <v>1.6870208</v>
      </c>
      <c r="K186" s="2"/>
      <c r="L186" s="2">
        <f>2.1001782</f>
        <v>2.1001782000000002</v>
      </c>
    </row>
    <row r="187" spans="1:12" ht="17">
      <c r="A187" s="1" t="str">
        <f t="shared" si="8"/>
        <v>2020/05/12</v>
      </c>
      <c r="B187" s="1" t="str">
        <f>"15:00"</f>
        <v>15:00</v>
      </c>
      <c r="C187" s="2"/>
      <c r="D187" s="2">
        <f>0.15991738</f>
        <v>0.15991738</v>
      </c>
      <c r="E187" s="2"/>
      <c r="F187" s="2">
        <f>0.42717728</f>
        <v>0.42717727999999999</v>
      </c>
      <c r="G187" s="2"/>
      <c r="H187" s="2">
        <f>0.677945</f>
        <v>0.67794500000000002</v>
      </c>
      <c r="I187" s="2"/>
      <c r="J187" s="2">
        <f>1.5627187</f>
        <v>1.5627187</v>
      </c>
      <c r="K187" s="2"/>
      <c r="L187" s="2">
        <f>1.8629926</f>
        <v>1.8629926000000001</v>
      </c>
    </row>
    <row r="188" spans="1:12" ht="17">
      <c r="A188" s="1" t="str">
        <f t="shared" si="8"/>
        <v>2020/05/12</v>
      </c>
      <c r="B188" s="1" t="str">
        <f>"16:00"</f>
        <v>16:00</v>
      </c>
      <c r="C188" s="2"/>
      <c r="D188" s="2">
        <f>0.20839572</f>
        <v>0.20839572000000001</v>
      </c>
      <c r="E188" s="2"/>
      <c r="F188" s="2">
        <f>0.36267456</f>
        <v>0.36267455999999998</v>
      </c>
      <c r="G188" s="2"/>
      <c r="H188" s="2">
        <f>0.6252073</f>
        <v>0.62520730000000002</v>
      </c>
      <c r="I188" s="2"/>
      <c r="J188" s="2">
        <f>1.2674562</f>
        <v>1.2674562</v>
      </c>
      <c r="K188" s="2"/>
      <c r="L188" s="2">
        <f>1.8174317</f>
        <v>1.8174317</v>
      </c>
    </row>
    <row r="189" spans="1:12" ht="17">
      <c r="A189" s="1" t="str">
        <f t="shared" si="8"/>
        <v>2020/05/12</v>
      </c>
      <c r="B189" s="1" t="str">
        <f>"17:00"</f>
        <v>17:00</v>
      </c>
      <c r="C189" s="2"/>
      <c r="D189" s="2">
        <f>0.30738688</f>
        <v>0.30738687999999997</v>
      </c>
      <c r="E189" s="2"/>
      <c r="F189" s="2">
        <f>0.4368139</f>
        <v>0.43681389999999998</v>
      </c>
      <c r="G189" s="2"/>
      <c r="H189" s="2">
        <f>1.0287404</f>
        <v>1.0287404</v>
      </c>
      <c r="I189" s="2"/>
      <c r="J189" s="2">
        <f>1.5352964</f>
        <v>1.5352964</v>
      </c>
      <c r="K189" s="2"/>
      <c r="L189" s="2">
        <f>1.8623215</f>
        <v>1.8623215</v>
      </c>
    </row>
    <row r="190" spans="1:12" ht="17">
      <c r="A190" s="1" t="str">
        <f t="shared" si="8"/>
        <v>2020/05/12</v>
      </c>
      <c r="B190" s="1" t="str">
        <f>"18:00"</f>
        <v>18:00</v>
      </c>
      <c r="C190" s="2"/>
      <c r="D190" s="2">
        <f>0.29611126</f>
        <v>0.29611125999999999</v>
      </c>
      <c r="E190" s="2"/>
      <c r="F190" s="2">
        <f>0.49689287</f>
        <v>0.49689286999999999</v>
      </c>
      <c r="G190" s="2"/>
      <c r="H190" s="2">
        <f>1.116425</f>
        <v>1.116425</v>
      </c>
      <c r="I190" s="2"/>
      <c r="J190" s="2">
        <f>1.9225359</f>
        <v>1.9225359</v>
      </c>
      <c r="K190" s="2"/>
      <c r="L190" s="2">
        <f>2.2261326</f>
        <v>2.2261326000000001</v>
      </c>
    </row>
    <row r="191" spans="1:12" ht="17">
      <c r="A191" s="1" t="str">
        <f t="shared" si="8"/>
        <v>2020/05/12</v>
      </c>
      <c r="B191" s="1" t="str">
        <f>"19:00"</f>
        <v>19:00</v>
      </c>
      <c r="C191" s="2"/>
      <c r="D191" s="2">
        <f>0.3535207</f>
        <v>0.35352070000000002</v>
      </c>
      <c r="E191" s="2"/>
      <c r="F191" s="2">
        <f>0.48557088</f>
        <v>0.48557087999999998</v>
      </c>
      <c r="G191" s="2"/>
      <c r="H191" s="2">
        <f>1.1155307</f>
        <v>1.1155307000000001</v>
      </c>
      <c r="I191" s="2"/>
      <c r="J191" s="2">
        <f>1.9667032</f>
        <v>1.9667032</v>
      </c>
      <c r="K191" s="2"/>
      <c r="L191" s="2">
        <f>2.2089174</f>
        <v>2.2089173999999998</v>
      </c>
    </row>
    <row r="192" spans="1:12" ht="17">
      <c r="A192" s="1" t="str">
        <f t="shared" si="8"/>
        <v>2020/05/12</v>
      </c>
      <c r="B192" s="1" t="str">
        <f>"20:00"</f>
        <v>20:00</v>
      </c>
      <c r="C192" s="2"/>
      <c r="D192" s="2">
        <f>0.6303127</f>
        <v>0.63031269999999995</v>
      </c>
      <c r="E192" s="2"/>
      <c r="F192" s="2">
        <f>0.51517105</f>
        <v>0.51517104999999996</v>
      </c>
      <c r="G192" s="2"/>
      <c r="H192" s="2">
        <f>1.9788593</f>
        <v>1.9788593000000001</v>
      </c>
      <c r="I192" s="2"/>
      <c r="J192" s="2">
        <f>2.236008</f>
        <v>2.236008</v>
      </c>
      <c r="K192" s="2"/>
      <c r="L192" s="2">
        <f>2.299632</f>
        <v>2.2996319999999999</v>
      </c>
    </row>
    <row r="193" spans="1:12" ht="17">
      <c r="A193" s="1" t="str">
        <f t="shared" si="8"/>
        <v>2020/05/12</v>
      </c>
      <c r="B193" s="1" t="str">
        <f>"21:00"</f>
        <v>21:00</v>
      </c>
      <c r="C193" s="2"/>
      <c r="D193" s="2">
        <f>0.662645</f>
        <v>0.66264500000000004</v>
      </c>
      <c r="E193" s="2"/>
      <c r="F193" s="2">
        <f>0.60148805</f>
        <v>0.60148805000000005</v>
      </c>
      <c r="G193" s="2"/>
      <c r="H193" s="2">
        <f>2.1400793</f>
        <v>2.1400793</v>
      </c>
      <c r="I193" s="2"/>
      <c r="J193" s="2">
        <f>2.5553637</f>
        <v>2.5553637</v>
      </c>
      <c r="K193" s="2"/>
      <c r="L193" s="2">
        <f>3.3409429</f>
        <v>3.3409428999999999</v>
      </c>
    </row>
    <row r="194" spans="1:12" ht="17">
      <c r="A194" s="1" t="str">
        <f t="shared" si="8"/>
        <v>2020/05/12</v>
      </c>
      <c r="B194" s="1" t="str">
        <f>"22:00"</f>
        <v>22:00</v>
      </c>
      <c r="C194" s="2"/>
      <c r="D194" s="2">
        <f>1.1803787</f>
        <v>1.1803786999999999</v>
      </c>
      <c r="E194" s="2"/>
      <c r="F194" s="2">
        <f>1.326287</f>
        <v>1.326287</v>
      </c>
      <c r="G194" s="2"/>
      <c r="H194" s="2">
        <f>5.225511</f>
        <v>5.225511</v>
      </c>
      <c r="I194" s="2"/>
      <c r="J194" s="2">
        <f>5.200893</f>
        <v>5.2008929999999998</v>
      </c>
      <c r="K194" s="2"/>
      <c r="L194" s="2">
        <f>5.4268155</f>
        <v>5.4268155</v>
      </c>
    </row>
    <row r="195" spans="1:12" ht="17">
      <c r="A195" s="1" t="str">
        <f t="shared" si="8"/>
        <v>2020/05/12</v>
      </c>
      <c r="B195" s="1" t="str">
        <f>"23:00"</f>
        <v>23:00</v>
      </c>
      <c r="C195" s="2"/>
      <c r="D195" s="2">
        <f>0.9377574</f>
        <v>0.93775739999999996</v>
      </c>
      <c r="E195" s="2"/>
      <c r="F195" s="2">
        <f>1.0481442</f>
        <v>1.0481442000000001</v>
      </c>
      <c r="G195" s="2"/>
      <c r="H195" s="2">
        <f>3.7413573</f>
        <v>3.7413573000000002</v>
      </c>
      <c r="I195" s="2"/>
      <c r="J195" s="2">
        <f>4.0039134</f>
        <v>4.0039134000000001</v>
      </c>
      <c r="K195" s="2"/>
      <c r="L195" s="2">
        <f>4.184689</f>
        <v>4.1846889999999997</v>
      </c>
    </row>
    <row r="196" spans="1:12" ht="17">
      <c r="A196" s="1" t="str">
        <f t="shared" si="8"/>
        <v>2020/05/12</v>
      </c>
      <c r="B196" s="1" t="str">
        <f>"24:00"</f>
        <v>24:00</v>
      </c>
      <c r="C196" s="2"/>
      <c r="D196" s="2">
        <f>0.46435305</f>
        <v>0.46435304999999999</v>
      </c>
      <c r="E196" s="2"/>
      <c r="F196" s="2">
        <f>0.7933929</f>
        <v>0.79339289999999996</v>
      </c>
      <c r="G196" s="2"/>
      <c r="H196" s="2">
        <f>2.4886732</f>
        <v>2.4886732</v>
      </c>
      <c r="I196" s="2"/>
      <c r="J196" s="2">
        <f>2.9545493</f>
        <v>2.9545493</v>
      </c>
      <c r="K196" s="2"/>
      <c r="L196" s="2">
        <f>3.1183116</f>
        <v>3.1183116000000002</v>
      </c>
    </row>
    <row r="197" spans="1:12" ht="17">
      <c r="A197" s="1" t="str">
        <f t="shared" ref="A197:A220" si="9">"2020/05/13"</f>
        <v>2020/05/13</v>
      </c>
      <c r="B197" s="1" t="str">
        <f>"01:00"</f>
        <v>01:00</v>
      </c>
      <c r="C197" s="2">
        <f>0.4431877</f>
        <v>0.44318770000000002</v>
      </c>
      <c r="D197" s="2">
        <f>0.36653283</f>
        <v>0.36653282999999998</v>
      </c>
      <c r="E197" s="2">
        <f>0.52621883</f>
        <v>0.52621883000000003</v>
      </c>
      <c r="F197" s="2">
        <f>0.48417363</f>
        <v>0.48417363000000002</v>
      </c>
      <c r="G197" s="2">
        <f>1.4008716</f>
        <v>1.4008716000000001</v>
      </c>
      <c r="H197" s="2">
        <f>1.2660342</f>
        <v>1.2660342</v>
      </c>
      <c r="I197" s="2">
        <f>1.8262203</f>
        <v>1.8262202999999999</v>
      </c>
      <c r="J197" s="2">
        <f>1.7157015</f>
        <v>1.7157015</v>
      </c>
      <c r="K197" s="2">
        <f>2.2681215</f>
        <v>2.2681214999999999</v>
      </c>
      <c r="L197" s="2">
        <f>2.1230621</f>
        <v>2.1230620999999998</v>
      </c>
    </row>
    <row r="198" spans="1:12" ht="17">
      <c r="A198" s="1" t="str">
        <f t="shared" si="9"/>
        <v>2020/05/13</v>
      </c>
      <c r="B198" s="1" t="str">
        <f>"02:00"</f>
        <v>02:00</v>
      </c>
      <c r="C198" s="2"/>
      <c r="D198" s="2">
        <f>0.47457206</f>
        <v>0.47457206000000002</v>
      </c>
      <c r="E198" s="2"/>
      <c r="F198" s="2">
        <f>0.55819213</f>
        <v>0.55819213000000001</v>
      </c>
      <c r="G198" s="2"/>
      <c r="H198" s="2">
        <f>0.8575853</f>
        <v>0.85758529999999999</v>
      </c>
      <c r="I198" s="2"/>
      <c r="J198" s="2">
        <f>0.9992234</f>
        <v>0.99922339999999998</v>
      </c>
      <c r="K198" s="2"/>
      <c r="L198" s="2">
        <f>3.5096314</f>
        <v>3.5096314</v>
      </c>
    </row>
    <row r="199" spans="1:12" ht="17">
      <c r="A199" s="1" t="str">
        <f t="shared" si="9"/>
        <v>2020/05/13</v>
      </c>
      <c r="B199" s="1" t="str">
        <f>"03:00"</f>
        <v>03:00</v>
      </c>
      <c r="C199" s="2"/>
      <c r="D199" s="2">
        <f>0.3415802</f>
        <v>0.3415802</v>
      </c>
      <c r="E199" s="2"/>
      <c r="F199" s="2">
        <f>0.37280157</f>
        <v>0.37280157000000003</v>
      </c>
      <c r="G199" s="2"/>
      <c r="H199" s="2">
        <f>1.381964</f>
        <v>1.381964</v>
      </c>
      <c r="I199" s="2"/>
      <c r="J199" s="2">
        <f>1.7234179</f>
        <v>1.7234179000000001</v>
      </c>
      <c r="K199" s="2"/>
      <c r="L199" s="2">
        <f>2.1869156</f>
        <v>2.1869155999999998</v>
      </c>
    </row>
    <row r="200" spans="1:12" ht="17">
      <c r="A200" s="1" t="str">
        <f t="shared" si="9"/>
        <v>2020/05/13</v>
      </c>
      <c r="B200" s="1" t="str">
        <f>"04:00"</f>
        <v>04:00</v>
      </c>
      <c r="C200" s="2"/>
      <c r="D200" s="2">
        <f>0.37311018</f>
        <v>0.37311018000000001</v>
      </c>
      <c r="E200" s="2"/>
      <c r="F200" s="2">
        <f>0.40564686</f>
        <v>0.40564686</v>
      </c>
      <c r="G200" s="2"/>
      <c r="H200" s="2">
        <f>1.4028687</f>
        <v>1.4028687</v>
      </c>
      <c r="I200" s="2"/>
      <c r="J200" s="2">
        <f>1.7998703</f>
        <v>1.7998703</v>
      </c>
      <c r="K200" s="2"/>
      <c r="L200" s="2">
        <f>1.6155032</f>
        <v>1.6155032</v>
      </c>
    </row>
    <row r="201" spans="1:12" ht="17">
      <c r="A201" s="1" t="str">
        <f t="shared" si="9"/>
        <v>2020/05/13</v>
      </c>
      <c r="B201" s="1" t="str">
        <f>"05:00"</f>
        <v>05:00</v>
      </c>
      <c r="C201" s="2"/>
      <c r="D201" s="2">
        <f>0.20591465</f>
        <v>0.20591465</v>
      </c>
      <c r="E201" s="2"/>
      <c r="F201" s="2">
        <f>0.31443977</f>
        <v>0.31443977000000001</v>
      </c>
      <c r="G201" s="2"/>
      <c r="H201" s="2">
        <f>0.9603706</f>
        <v>0.96037059999999996</v>
      </c>
      <c r="I201" s="2"/>
      <c r="J201" s="2">
        <f>1.3467066</f>
        <v>1.3467066000000001</v>
      </c>
      <c r="K201" s="2"/>
      <c r="L201" s="2">
        <f>1.2862711</f>
        <v>1.2862711</v>
      </c>
    </row>
    <row r="202" spans="1:12" ht="17">
      <c r="A202" s="1" t="str">
        <f t="shared" si="9"/>
        <v>2020/05/13</v>
      </c>
      <c r="B202" s="1" t="str">
        <f>"06:00"</f>
        <v>06:00</v>
      </c>
      <c r="C202" s="2"/>
      <c r="D202" s="2">
        <f>0.18773723</f>
        <v>0.18773723</v>
      </c>
      <c r="E202" s="2"/>
      <c r="F202" s="2">
        <f>0.49064437</f>
        <v>0.49064437</v>
      </c>
      <c r="G202" s="2"/>
      <c r="H202" s="2">
        <f>1.4878184</f>
        <v>1.4878184000000001</v>
      </c>
      <c r="I202" s="2"/>
      <c r="J202" s="2">
        <f>2.0083828</f>
        <v>2.0083828000000001</v>
      </c>
      <c r="K202" s="2"/>
      <c r="L202" s="2">
        <f>2.7845192</f>
        <v>2.7845192000000001</v>
      </c>
    </row>
    <row r="203" spans="1:12" ht="17">
      <c r="A203" s="1" t="str">
        <f t="shared" si="9"/>
        <v>2020/05/13</v>
      </c>
      <c r="B203" s="1" t="str">
        <f>"07:00"</f>
        <v>07:00</v>
      </c>
      <c r="C203" s="2"/>
      <c r="D203" s="2">
        <f>0.5586922</f>
        <v>0.55869219999999997</v>
      </c>
      <c r="E203" s="2"/>
      <c r="F203" s="2">
        <f>0.6954513</f>
        <v>0.69545129999999999</v>
      </c>
      <c r="G203" s="2"/>
      <c r="H203" s="2">
        <f>1.193135</f>
        <v>1.1931350000000001</v>
      </c>
      <c r="I203" s="2"/>
      <c r="J203" s="2">
        <f>1.6992416</f>
        <v>1.6992415999999999</v>
      </c>
      <c r="K203" s="2"/>
      <c r="L203" s="2">
        <f>3.1121256</f>
        <v>3.1121256000000002</v>
      </c>
    </row>
    <row r="204" spans="1:12" ht="17">
      <c r="A204" s="1" t="str">
        <f t="shared" si="9"/>
        <v>2020/05/13</v>
      </c>
      <c r="B204" s="1" t="str">
        <f>"08:00"</f>
        <v>08:00</v>
      </c>
      <c r="C204" s="2"/>
      <c r="D204" s="2">
        <f>1.0858337</f>
        <v>1.0858337</v>
      </c>
      <c r="E204" s="2"/>
      <c r="F204" s="2">
        <f>0.45114672</f>
        <v>0.45114672</v>
      </c>
      <c r="G204" s="2"/>
      <c r="H204" s="2">
        <f>1.4548515</f>
        <v>1.4548515</v>
      </c>
      <c r="I204" s="2"/>
      <c r="J204" s="2">
        <f>1.9740767</f>
        <v>1.9740766999999999</v>
      </c>
      <c r="K204" s="2"/>
      <c r="L204" s="2">
        <f>2.3804822</f>
        <v>2.3804821999999999</v>
      </c>
    </row>
    <row r="205" spans="1:12" ht="17">
      <c r="A205" s="1" t="str">
        <f t="shared" si="9"/>
        <v>2020/05/13</v>
      </c>
      <c r="B205" s="1" t="str">
        <f>"09:00"</f>
        <v>09:00</v>
      </c>
      <c r="C205" s="2"/>
      <c r="D205" s="2">
        <f>1.5804092</f>
        <v>1.5804092000000001</v>
      </c>
      <c r="E205" s="2"/>
      <c r="F205" s="2">
        <f>0.6623162</f>
        <v>0.66231620000000002</v>
      </c>
      <c r="G205" s="2"/>
      <c r="H205" s="2">
        <f>2.690215</f>
        <v>2.6902149999999998</v>
      </c>
      <c r="I205" s="2"/>
      <c r="J205" s="2">
        <f>2.220764</f>
        <v>2.220764</v>
      </c>
      <c r="K205" s="2"/>
      <c r="L205" s="2">
        <f>3.6297731</f>
        <v>3.6297731</v>
      </c>
    </row>
    <row r="206" spans="1:12" ht="17">
      <c r="A206" s="1" t="str">
        <f t="shared" si="9"/>
        <v>2020/05/13</v>
      </c>
      <c r="B206" s="1" t="str">
        <f>"10:00"</f>
        <v>10:00</v>
      </c>
      <c r="C206" s="2"/>
      <c r="D206" s="2">
        <f>0.5082921</f>
        <v>0.50829210000000002</v>
      </c>
      <c r="E206" s="2"/>
      <c r="F206" s="2">
        <f>0.8213997</f>
        <v>0.82139969999999995</v>
      </c>
      <c r="G206" s="2"/>
      <c r="H206" s="2">
        <f>3.057774</f>
        <v>3.0577740000000002</v>
      </c>
      <c r="I206" s="2"/>
      <c r="J206" s="2">
        <f>2.7346184</f>
        <v>2.7346184</v>
      </c>
      <c r="K206" s="2"/>
      <c r="L206" s="2">
        <f>3.0557265</f>
        <v>3.0557265</v>
      </c>
    </row>
    <row r="207" spans="1:12" ht="17">
      <c r="A207" s="1" t="str">
        <f t="shared" si="9"/>
        <v>2020/05/13</v>
      </c>
      <c r="B207" s="1" t="str">
        <f>"11:00"</f>
        <v>11:00</v>
      </c>
      <c r="C207" s="2"/>
      <c r="D207" s="2">
        <f>0.5293638</f>
        <v>0.52936380000000005</v>
      </c>
      <c r="E207" s="2"/>
      <c r="F207" s="2">
        <f>0.8319933</f>
        <v>0.83199330000000005</v>
      </c>
      <c r="G207" s="2"/>
      <c r="H207" s="2">
        <f>1.9415532</f>
        <v>1.9415532</v>
      </c>
      <c r="I207" s="2"/>
      <c r="J207" s="2">
        <f>2.2157462</f>
        <v>2.2157461999999999</v>
      </c>
      <c r="K207" s="2"/>
      <c r="L207" s="2">
        <f>2.8039548</f>
        <v>2.8039548000000001</v>
      </c>
    </row>
    <row r="208" spans="1:12" ht="17">
      <c r="A208" s="1" t="str">
        <f t="shared" si="9"/>
        <v>2020/05/13</v>
      </c>
      <c r="B208" s="1" t="str">
        <f>"12:00"</f>
        <v>12:00</v>
      </c>
      <c r="C208" s="2"/>
      <c r="D208" s="2">
        <f>0.44727874</f>
        <v>0.44727874000000001</v>
      </c>
      <c r="E208" s="2"/>
      <c r="F208" s="2">
        <f>0.6363666</f>
        <v>0.6363666</v>
      </c>
      <c r="G208" s="2"/>
      <c r="H208" s="2">
        <f>1.6488037</f>
        <v>1.6488037</v>
      </c>
      <c r="I208" s="2"/>
      <c r="J208" s="2">
        <f>2.5059118</f>
        <v>2.5059117999999998</v>
      </c>
      <c r="K208" s="2"/>
      <c r="L208" s="2">
        <f>2.7213888</f>
        <v>2.7213888000000002</v>
      </c>
    </row>
    <row r="209" spans="1:12" ht="17">
      <c r="A209" s="1" t="str">
        <f t="shared" si="9"/>
        <v>2020/05/13</v>
      </c>
      <c r="B209" s="1" t="str">
        <f>"13:00"</f>
        <v>13:00</v>
      </c>
      <c r="C209" s="2"/>
      <c r="D209" s="2">
        <f>0.39844432</f>
        <v>0.39844432000000002</v>
      </c>
      <c r="E209" s="2"/>
      <c r="F209" s="2">
        <f>0.52186966</f>
        <v>0.52186966000000001</v>
      </c>
      <c r="G209" s="2"/>
      <c r="H209" s="2">
        <f>1.8238679</f>
        <v>1.8238679</v>
      </c>
      <c r="I209" s="2"/>
      <c r="J209" s="2">
        <f>1.984234</f>
        <v>1.9842340000000001</v>
      </c>
      <c r="K209" s="2"/>
      <c r="L209" s="2">
        <f>2.0489638</f>
        <v>2.0489638000000001</v>
      </c>
    </row>
    <row r="210" spans="1:12" ht="17">
      <c r="A210" s="1" t="str">
        <f t="shared" si="9"/>
        <v>2020/05/13</v>
      </c>
      <c r="B210" s="1" t="str">
        <f>"14:00"</f>
        <v>14:00</v>
      </c>
      <c r="C210" s="2"/>
      <c r="D210" s="2">
        <f>0.1716647</f>
        <v>0.1716647</v>
      </c>
      <c r="E210" s="2"/>
      <c r="F210" s="2">
        <f>0.59101427</f>
        <v>0.59101426999999995</v>
      </c>
      <c r="G210" s="2"/>
      <c r="H210" s="2">
        <f>1.668887</f>
        <v>1.668887</v>
      </c>
      <c r="I210" s="2"/>
      <c r="J210" s="2">
        <f>2.0024214</f>
        <v>2.0024213999999998</v>
      </c>
      <c r="K210" s="2"/>
      <c r="L210" s="2">
        <f>2.1634977</f>
        <v>2.1634977000000002</v>
      </c>
    </row>
    <row r="211" spans="1:12" ht="17">
      <c r="A211" s="1" t="str">
        <f t="shared" si="9"/>
        <v>2020/05/13</v>
      </c>
      <c r="B211" s="1" t="str">
        <f>"15:00"</f>
        <v>15:00</v>
      </c>
      <c r="C211" s="2"/>
      <c r="D211" s="2">
        <f>0.34636262</f>
        <v>0.34636262000000001</v>
      </c>
      <c r="E211" s="2"/>
      <c r="F211" s="2">
        <f>0.5245759</f>
        <v>0.52457589999999998</v>
      </c>
      <c r="G211" s="2"/>
      <c r="H211" s="2">
        <f>1.1142524</f>
        <v>1.1142524</v>
      </c>
      <c r="I211" s="2"/>
      <c r="J211" s="2">
        <f>1.7050651</f>
        <v>1.7050650999999999</v>
      </c>
      <c r="K211" s="2"/>
      <c r="L211" s="2">
        <f>1.716619</f>
        <v>1.7166189999999999</v>
      </c>
    </row>
    <row r="212" spans="1:12" ht="17">
      <c r="A212" s="1" t="str">
        <f t="shared" si="9"/>
        <v>2020/05/13</v>
      </c>
      <c r="B212" s="1" t="str">
        <f>"16:00"</f>
        <v>16:00</v>
      </c>
      <c r="C212" s="2"/>
      <c r="D212" s="2">
        <f>0.19239897</f>
        <v>0.19239897</v>
      </c>
      <c r="E212" s="2"/>
      <c r="F212" s="2">
        <f>0.42651886</f>
        <v>0.42651886</v>
      </c>
      <c r="G212" s="2"/>
      <c r="H212" s="2">
        <f>1.0331051</f>
        <v>1.0331051</v>
      </c>
      <c r="I212" s="2"/>
      <c r="J212" s="2">
        <f>1.4881061</f>
        <v>1.4881061</v>
      </c>
      <c r="K212" s="2"/>
      <c r="L212" s="2">
        <f>1.6072533</f>
        <v>1.6072533</v>
      </c>
    </row>
    <row r="213" spans="1:12" ht="17">
      <c r="A213" s="1" t="str">
        <f t="shared" si="9"/>
        <v>2020/05/13</v>
      </c>
      <c r="B213" s="1" t="str">
        <f>"17:00"</f>
        <v>17:00</v>
      </c>
      <c r="C213" s="2"/>
      <c r="D213" s="2">
        <f>0.22818314</f>
        <v>0.22818314000000001</v>
      </c>
      <c r="E213" s="2"/>
      <c r="F213" s="2">
        <f>0.37547237</f>
        <v>0.37547237</v>
      </c>
      <c r="G213" s="2"/>
      <c r="H213" s="2">
        <f>0.8087351</f>
        <v>0.80873510000000004</v>
      </c>
      <c r="I213" s="2"/>
      <c r="J213" s="2">
        <f>1.4769849</f>
        <v>1.4769848999999999</v>
      </c>
      <c r="K213" s="2"/>
      <c r="L213" s="2">
        <f>2.2547624</f>
        <v>2.2547624000000002</v>
      </c>
    </row>
    <row r="214" spans="1:12" ht="17">
      <c r="A214" s="1" t="str">
        <f t="shared" si="9"/>
        <v>2020/05/13</v>
      </c>
      <c r="B214" s="1" t="str">
        <f>"18:00"</f>
        <v>18:00</v>
      </c>
      <c r="C214" s="2"/>
      <c r="D214" s="2">
        <f>0.26390207</f>
        <v>0.26390206999999999</v>
      </c>
      <c r="E214" s="2"/>
      <c r="F214" s="2">
        <f>0.40050188</f>
        <v>0.40050187999999998</v>
      </c>
      <c r="G214" s="2"/>
      <c r="H214" s="2">
        <f>0.9775076</f>
        <v>0.97750760000000003</v>
      </c>
      <c r="I214" s="2"/>
      <c r="J214" s="2">
        <f>1.6638136</f>
        <v>1.6638135999999999</v>
      </c>
      <c r="K214" s="2"/>
      <c r="L214" s="2">
        <f>1.7755822</f>
        <v>1.7755822000000001</v>
      </c>
    </row>
    <row r="215" spans="1:12" ht="17">
      <c r="A215" s="1" t="str">
        <f t="shared" si="9"/>
        <v>2020/05/13</v>
      </c>
      <c r="B215" s="1" t="str">
        <f>"19:00"</f>
        <v>19:00</v>
      </c>
      <c r="C215" s="2"/>
      <c r="D215" s="2">
        <f>0.39119017</f>
        <v>0.39119017</v>
      </c>
      <c r="E215" s="2"/>
      <c r="F215" s="2">
        <f>0.45768613</f>
        <v>0.45768613000000002</v>
      </c>
      <c r="G215" s="2"/>
      <c r="H215" s="2">
        <f>1.0027009</f>
        <v>1.0027009</v>
      </c>
      <c r="I215" s="2"/>
      <c r="J215" s="2">
        <f>1.8228763</f>
        <v>1.8228762999999999</v>
      </c>
      <c r="K215" s="2"/>
      <c r="L215" s="2">
        <f>1.8957099</f>
        <v>1.8957098999999999</v>
      </c>
    </row>
    <row r="216" spans="1:12" ht="17">
      <c r="A216" s="1" t="str">
        <f t="shared" si="9"/>
        <v>2020/05/13</v>
      </c>
      <c r="B216" s="1" t="str">
        <f>"20:00"</f>
        <v>20:00</v>
      </c>
      <c r="C216" s="2"/>
      <c r="D216" s="2">
        <f>0.46576804</f>
        <v>0.46576803999999999</v>
      </c>
      <c r="E216" s="2"/>
      <c r="F216" s="2">
        <f>0.65067077</f>
        <v>0.65067076999999995</v>
      </c>
      <c r="G216" s="2"/>
      <c r="H216" s="2">
        <f>1.6576822</f>
        <v>1.6576822</v>
      </c>
      <c r="I216" s="2"/>
      <c r="J216" s="2">
        <f>2.312132</f>
        <v>2.3121320000000001</v>
      </c>
      <c r="K216" s="2"/>
      <c r="L216" s="2">
        <f>2.126791</f>
        <v>2.1267909999999999</v>
      </c>
    </row>
    <row r="217" spans="1:12" ht="17">
      <c r="A217" s="1" t="str">
        <f t="shared" si="9"/>
        <v>2020/05/13</v>
      </c>
      <c r="B217" s="1" t="str">
        <f>"21:00"</f>
        <v>21:00</v>
      </c>
      <c r="C217" s="2"/>
      <c r="D217" s="2">
        <f>0.41524243</f>
        <v>0.41524243</v>
      </c>
      <c r="E217" s="2"/>
      <c r="F217" s="2">
        <f>0.52643704</f>
        <v>0.52643704000000002</v>
      </c>
      <c r="G217" s="2"/>
      <c r="H217" s="2">
        <f>1.3108609</f>
        <v>1.3108609</v>
      </c>
      <c r="I217" s="2"/>
      <c r="J217" s="2">
        <f>1.8107061</f>
        <v>1.8107061</v>
      </c>
      <c r="K217" s="2"/>
      <c r="L217" s="2">
        <f>2.174676</f>
        <v>2.1746759999999998</v>
      </c>
    </row>
    <row r="218" spans="1:12" ht="17">
      <c r="A218" s="1" t="str">
        <f t="shared" si="9"/>
        <v>2020/05/13</v>
      </c>
      <c r="B218" s="1" t="str">
        <f>"22:00"</f>
        <v>22:00</v>
      </c>
      <c r="C218" s="2"/>
      <c r="D218" s="2">
        <f>0.33921844</f>
        <v>0.33921844000000001</v>
      </c>
      <c r="E218" s="2"/>
      <c r="F218" s="2">
        <f>0.43354213</f>
        <v>0.43354213000000003</v>
      </c>
      <c r="G218" s="2"/>
      <c r="H218" s="2">
        <f>1.2509125</f>
        <v>1.2509125000000001</v>
      </c>
      <c r="I218" s="2"/>
      <c r="J218" s="2">
        <f>1.736094</f>
        <v>1.736094</v>
      </c>
      <c r="K218" s="2"/>
      <c r="L218" s="2">
        <f>2.244979</f>
        <v>2.2449789999999998</v>
      </c>
    </row>
    <row r="219" spans="1:12" ht="17">
      <c r="A219" s="1" t="str">
        <f t="shared" si="9"/>
        <v>2020/05/13</v>
      </c>
      <c r="B219" s="1" t="str">
        <f>"23:00"</f>
        <v>23:00</v>
      </c>
      <c r="C219" s="2"/>
      <c r="D219" s="2">
        <f>0.47369456</f>
        <v>0.47369455999999999</v>
      </c>
      <c r="E219" s="2"/>
      <c r="F219" s="2">
        <f>0.64195603</f>
        <v>0.64195603000000001</v>
      </c>
      <c r="G219" s="2"/>
      <c r="H219" s="2">
        <f>0.90046555</f>
        <v>0.90046554999999995</v>
      </c>
      <c r="I219" s="2"/>
      <c r="J219" s="2">
        <f>1.600911</f>
        <v>1.600911</v>
      </c>
      <c r="K219" s="2"/>
      <c r="L219" s="2">
        <f>2.21627</f>
        <v>2.2162700000000002</v>
      </c>
    </row>
    <row r="220" spans="1:12" ht="17">
      <c r="A220" s="1" t="str">
        <f t="shared" si="9"/>
        <v>2020/05/13</v>
      </c>
      <c r="B220" s="1" t="str">
        <f>"24:00"</f>
        <v>24:00</v>
      </c>
      <c r="C220" s="2"/>
      <c r="D220" s="2">
        <f>0.29111847</f>
        <v>0.29111847000000002</v>
      </c>
      <c r="E220" s="2"/>
      <c r="F220" s="2">
        <f>0.35443527</f>
        <v>0.35443527000000002</v>
      </c>
      <c r="G220" s="2"/>
      <c r="H220" s="2">
        <f>0.7289672</f>
        <v>0.72896720000000004</v>
      </c>
      <c r="I220" s="2"/>
      <c r="J220" s="2">
        <f>1.2822803</f>
        <v>1.2822803</v>
      </c>
      <c r="K220" s="2"/>
      <c r="L220" s="2">
        <f>1.0004563</f>
        <v>1.0004563</v>
      </c>
    </row>
    <row r="221" spans="1:12" ht="17">
      <c r="A221" s="1" t="str">
        <f t="shared" ref="A221:A244" si="10">"2020/05/14"</f>
        <v>2020/05/14</v>
      </c>
      <c r="B221" s="1" t="str">
        <f>"01:00"</f>
        <v>01:00</v>
      </c>
      <c r="C221" s="2">
        <f>0.37963855</f>
        <v>0.37963855000000002</v>
      </c>
      <c r="D221" s="2">
        <f>0.24265294</f>
        <v>0.24265294000000001</v>
      </c>
      <c r="E221" s="2">
        <f>0.5235411</f>
        <v>0.52354109999999998</v>
      </c>
      <c r="F221" s="2">
        <f>0.12275966</f>
        <v>0.12275966000000001</v>
      </c>
      <c r="G221" s="2">
        <f>1.3772482</f>
        <v>1.3772481999999999</v>
      </c>
      <c r="H221" s="2">
        <f>0.6015985</f>
        <v>0.60159850000000004</v>
      </c>
      <c r="I221" s="2">
        <f>1.8689768</f>
        <v>1.8689768</v>
      </c>
      <c r="J221" s="2">
        <f>0.87855434</f>
        <v>0.87855433999999999</v>
      </c>
      <c r="K221" s="2">
        <f>2.1039722</f>
        <v>2.1039721999999998</v>
      </c>
      <c r="L221" s="2">
        <f>0.387633</f>
        <v>0.38763300000000001</v>
      </c>
    </row>
    <row r="222" spans="1:12" ht="17">
      <c r="A222" s="1" t="str">
        <f t="shared" si="10"/>
        <v>2020/05/14</v>
      </c>
      <c r="B222" s="1" t="str">
        <f>"02:00"</f>
        <v>02:00</v>
      </c>
      <c r="C222" s="2"/>
      <c r="D222" s="2">
        <f>0.21131141</f>
        <v>0.21131141000000001</v>
      </c>
      <c r="E222" s="2"/>
      <c r="F222" s="2">
        <f>0.47420213</f>
        <v>0.47420213</v>
      </c>
      <c r="G222" s="2"/>
      <c r="H222" s="2">
        <f>0.6079145</f>
        <v>0.60791450000000002</v>
      </c>
      <c r="I222" s="2"/>
      <c r="J222" s="2">
        <f>1.169174</f>
        <v>1.1691739999999999</v>
      </c>
      <c r="K222" s="2"/>
      <c r="L222" s="2">
        <f>1.2433172</f>
        <v>1.2433171999999999</v>
      </c>
    </row>
    <row r="223" spans="1:12" ht="17">
      <c r="A223" s="1" t="str">
        <f t="shared" si="10"/>
        <v>2020/05/14</v>
      </c>
      <c r="B223" s="1" t="str">
        <f>"03:00"</f>
        <v>03:00</v>
      </c>
      <c r="C223" s="2"/>
      <c r="D223" s="2">
        <f>0.23535535</f>
        <v>0.23535534999999999</v>
      </c>
      <c r="E223" s="2"/>
      <c r="F223" s="2">
        <f>0.2778448</f>
        <v>0.2778448</v>
      </c>
      <c r="G223" s="2"/>
      <c r="H223" s="2">
        <f>0.3642911</f>
        <v>0.36429109999999998</v>
      </c>
      <c r="I223" s="2"/>
      <c r="J223" s="2">
        <f>1.0339612</f>
        <v>1.0339612</v>
      </c>
      <c r="K223" s="2"/>
      <c r="L223" s="2">
        <f>1.2539253</f>
        <v>1.2539252999999999</v>
      </c>
    </row>
    <row r="224" spans="1:12" ht="17">
      <c r="A224" s="1" t="str">
        <f t="shared" si="10"/>
        <v>2020/05/14</v>
      </c>
      <c r="B224" s="1" t="str">
        <f>"04:00"</f>
        <v>04:00</v>
      </c>
      <c r="C224" s="2"/>
      <c r="D224" s="2">
        <f>0.37046808</f>
        <v>0.37046807999999998</v>
      </c>
      <c r="E224" s="2"/>
      <c r="F224" s="2">
        <f>0.35766596</f>
        <v>0.35766596</v>
      </c>
      <c r="G224" s="2"/>
      <c r="H224" s="2">
        <f>0.5007924</f>
        <v>0.50079240000000003</v>
      </c>
      <c r="I224" s="2"/>
      <c r="J224" s="2">
        <f>0.9486501</f>
        <v>0.94865010000000005</v>
      </c>
      <c r="K224" s="2"/>
      <c r="L224" s="2">
        <f>1.75899</f>
        <v>1.7589900000000001</v>
      </c>
    </row>
    <row r="225" spans="1:12" ht="17">
      <c r="A225" s="1" t="str">
        <f t="shared" si="10"/>
        <v>2020/05/14</v>
      </c>
      <c r="B225" s="1" t="str">
        <f>"05:00"</f>
        <v>05:00</v>
      </c>
      <c r="C225" s="2"/>
      <c r="D225" s="2">
        <f>0.26881552</f>
        <v>0.26881551999999997</v>
      </c>
      <c r="E225" s="2"/>
      <c r="F225" s="2">
        <f>0.31875014</f>
        <v>0.31875014000000002</v>
      </c>
      <c r="G225" s="2"/>
      <c r="H225" s="2">
        <f>0.41994438</f>
        <v>0.41994438000000001</v>
      </c>
      <c r="I225" s="2"/>
      <c r="J225" s="2">
        <f>1.0285006</f>
        <v>1.0285006000000001</v>
      </c>
      <c r="K225" s="2"/>
      <c r="L225" s="2">
        <f>1.4266748</f>
        <v>1.4266748</v>
      </c>
    </row>
    <row r="226" spans="1:12" ht="17">
      <c r="A226" s="1" t="str">
        <f t="shared" si="10"/>
        <v>2020/05/14</v>
      </c>
      <c r="B226" s="1" t="str">
        <f>"06:00"</f>
        <v>06:00</v>
      </c>
      <c r="C226" s="2"/>
      <c r="D226" s="2">
        <f>0.6657856</f>
        <v>0.66578559999999998</v>
      </c>
      <c r="E226" s="2"/>
      <c r="F226" s="2">
        <f>0.4543974</f>
        <v>0.45439740000000001</v>
      </c>
      <c r="G226" s="2"/>
      <c r="H226" s="2">
        <f>0.39786947</f>
        <v>0.39786947</v>
      </c>
      <c r="I226" s="2"/>
      <c r="J226" s="2">
        <f>1.0880574</f>
        <v>1.0880574000000001</v>
      </c>
      <c r="K226" s="2"/>
      <c r="L226" s="2">
        <f>0.91441846</f>
        <v>0.91441846000000004</v>
      </c>
    </row>
    <row r="227" spans="1:12" ht="17">
      <c r="A227" s="1" t="str">
        <f t="shared" si="10"/>
        <v>2020/05/14</v>
      </c>
      <c r="B227" s="1" t="str">
        <f>"07:00"</f>
        <v>07:00</v>
      </c>
      <c r="C227" s="2"/>
      <c r="D227" s="2">
        <f>0.30539802</f>
        <v>0.30539801999999999</v>
      </c>
      <c r="E227" s="2"/>
      <c r="F227" s="2">
        <f>0.28151032</f>
        <v>0.28151031999999998</v>
      </c>
      <c r="G227" s="2"/>
      <c r="H227" s="2">
        <f>0.6230382</f>
        <v>0.62303819999999999</v>
      </c>
      <c r="I227" s="2"/>
      <c r="J227" s="2">
        <f>1.2142932</f>
        <v>1.2142932</v>
      </c>
      <c r="K227" s="2"/>
      <c r="L227" s="2">
        <f>1.11524</f>
        <v>1.11524</v>
      </c>
    </row>
    <row r="228" spans="1:12" ht="17">
      <c r="A228" s="1" t="str">
        <f t="shared" si="10"/>
        <v>2020/05/14</v>
      </c>
      <c r="B228" s="1" t="str">
        <f>"08:00"</f>
        <v>08:00</v>
      </c>
      <c r="C228" s="2"/>
      <c r="D228" s="2">
        <f>0.5858524</f>
        <v>0.58585240000000005</v>
      </c>
      <c r="E228" s="2"/>
      <c r="F228" s="2">
        <f>0.46840706</f>
        <v>0.46840705999999999</v>
      </c>
      <c r="G228" s="2"/>
      <c r="H228" s="2">
        <f>0.8360041</f>
        <v>0.83600410000000003</v>
      </c>
      <c r="I228" s="2"/>
      <c r="J228" s="2">
        <f>1.3464208</f>
        <v>1.3464208</v>
      </c>
      <c r="K228" s="2"/>
      <c r="L228" s="2">
        <f>1.570494</f>
        <v>1.5704940000000001</v>
      </c>
    </row>
    <row r="229" spans="1:12" ht="17">
      <c r="A229" s="1" t="str">
        <f t="shared" si="10"/>
        <v>2020/05/14</v>
      </c>
      <c r="B229" s="1" t="str">
        <f>"09:00"</f>
        <v>09:00</v>
      </c>
      <c r="C229" s="2"/>
      <c r="D229" s="2">
        <f>0.66368604</f>
        <v>0.66368603999999998</v>
      </c>
      <c r="E229" s="2"/>
      <c r="F229" s="2">
        <f>0.5099806</f>
        <v>0.50998060000000001</v>
      </c>
      <c r="G229" s="2"/>
      <c r="H229" s="2">
        <f>1.5391861</f>
        <v>1.5391861</v>
      </c>
      <c r="I229" s="2"/>
      <c r="J229" s="2">
        <f>1.6356852</f>
        <v>1.6356852</v>
      </c>
      <c r="K229" s="2"/>
      <c r="L229" s="2">
        <f>2.0441175</f>
        <v>2.0441175</v>
      </c>
    </row>
    <row r="230" spans="1:12" ht="17">
      <c r="A230" s="1" t="str">
        <f t="shared" si="10"/>
        <v>2020/05/14</v>
      </c>
      <c r="B230" s="1" t="str">
        <f>"10:00"</f>
        <v>10:00</v>
      </c>
      <c r="C230" s="2"/>
      <c r="D230" s="2">
        <f>0.7386148</f>
        <v>0.73861480000000002</v>
      </c>
      <c r="E230" s="2"/>
      <c r="F230" s="2">
        <f>0.44648167</f>
        <v>0.44648167</v>
      </c>
      <c r="G230" s="2"/>
      <c r="H230" s="2">
        <f>1.2389851</f>
        <v>1.2389851000000001</v>
      </c>
      <c r="I230" s="2"/>
      <c r="J230" s="2">
        <f>1.5475975</f>
        <v>1.5475975</v>
      </c>
      <c r="K230" s="2"/>
      <c r="L230" s="2">
        <f>1.597122</f>
        <v>1.5971219999999999</v>
      </c>
    </row>
    <row r="231" spans="1:12" ht="17">
      <c r="A231" s="1" t="str">
        <f t="shared" si="10"/>
        <v>2020/05/14</v>
      </c>
      <c r="B231" s="1" t="str">
        <f>"11:00"</f>
        <v>11:00</v>
      </c>
      <c r="C231" s="2"/>
      <c r="D231" s="2">
        <f>0.6861915</f>
        <v>0.68619149999999995</v>
      </c>
      <c r="E231" s="2"/>
      <c r="F231" s="2">
        <f>0.53217095</f>
        <v>0.53217095000000003</v>
      </c>
      <c r="G231" s="2"/>
      <c r="H231" s="2">
        <f>1.7538733</f>
        <v>1.7538733</v>
      </c>
      <c r="I231" s="2"/>
      <c r="J231" s="2">
        <f>1.9345325</f>
        <v>1.9345325</v>
      </c>
      <c r="K231" s="2"/>
      <c r="L231" s="2">
        <f>1.9896185</f>
        <v>1.9896185</v>
      </c>
    </row>
    <row r="232" spans="1:12" ht="17">
      <c r="A232" s="1" t="str">
        <f t="shared" si="10"/>
        <v>2020/05/14</v>
      </c>
      <c r="B232" s="1" t="str">
        <f>"12:00"</f>
        <v>12:00</v>
      </c>
      <c r="C232" s="2"/>
      <c r="D232" s="2">
        <f>0.42713755</f>
        <v>0.42713754999999998</v>
      </c>
      <c r="E232" s="2"/>
      <c r="F232" s="2">
        <f>0.5775607</f>
        <v>0.57756070000000004</v>
      </c>
      <c r="G232" s="2"/>
      <c r="H232" s="2">
        <f>2.0150516</f>
        <v>2.0150516000000001</v>
      </c>
      <c r="I232" s="2"/>
      <c r="J232" s="2">
        <f>2.148962</f>
        <v>2.148962</v>
      </c>
      <c r="K232" s="2"/>
      <c r="L232" s="2">
        <f>2.204845</f>
        <v>2.2048450000000002</v>
      </c>
    </row>
    <row r="233" spans="1:12" ht="17">
      <c r="A233" s="1" t="str">
        <f t="shared" si="10"/>
        <v>2020/05/14</v>
      </c>
      <c r="B233" s="1" t="str">
        <f>"13:00"</f>
        <v>13:00</v>
      </c>
      <c r="C233" s="2"/>
      <c r="D233" s="2">
        <f>0.19194584</f>
        <v>0.19194584000000001</v>
      </c>
      <c r="E233" s="2"/>
      <c r="F233" s="2">
        <f>1.3572159</f>
        <v>1.3572158999999999</v>
      </c>
      <c r="G233" s="2"/>
      <c r="H233" s="2">
        <f>4.401836</f>
        <v>4.4018360000000003</v>
      </c>
      <c r="I233" s="2"/>
      <c r="J233" s="2">
        <f>5.065927</f>
        <v>5.0659270000000003</v>
      </c>
      <c r="K233" s="2"/>
      <c r="L233" s="2">
        <f>5.4643917</f>
        <v>5.4643917000000002</v>
      </c>
    </row>
    <row r="234" spans="1:12" ht="17">
      <c r="A234" s="1" t="str">
        <f t="shared" si="10"/>
        <v>2020/05/14</v>
      </c>
      <c r="B234" s="1" t="str">
        <f>"14:00"</f>
        <v>14:00</v>
      </c>
      <c r="C234" s="2"/>
      <c r="D234" s="2">
        <f>0.23192556</f>
        <v>0.23192556</v>
      </c>
      <c r="E234" s="2"/>
      <c r="F234" s="2">
        <f>0.99202967</f>
        <v>0.99202966999999997</v>
      </c>
      <c r="G234" s="2"/>
      <c r="H234" s="2">
        <f>3.159485</f>
        <v>3.1594850000000001</v>
      </c>
      <c r="I234" s="2"/>
      <c r="J234" s="2">
        <f>4.051408</f>
        <v>4.0514080000000003</v>
      </c>
      <c r="K234" s="2"/>
      <c r="L234" s="2">
        <f>4.745912</f>
        <v>4.7459119999999997</v>
      </c>
    </row>
    <row r="235" spans="1:12" ht="17">
      <c r="A235" s="1" t="str">
        <f t="shared" si="10"/>
        <v>2020/05/14</v>
      </c>
      <c r="B235" s="1" t="str">
        <f>"15:00"</f>
        <v>15:00</v>
      </c>
      <c r="C235" s="2"/>
      <c r="D235" s="2">
        <f>0.13322751</f>
        <v>0.13322750999999999</v>
      </c>
      <c r="E235" s="2"/>
      <c r="F235" s="2">
        <f>0.46081075</f>
        <v>0.46081074999999999</v>
      </c>
      <c r="G235" s="2"/>
      <c r="H235" s="2">
        <f>0.7294456</f>
        <v>0.72944560000000003</v>
      </c>
      <c r="I235" s="2"/>
      <c r="J235" s="2">
        <f>1.5825399</f>
        <v>1.5825399</v>
      </c>
      <c r="K235" s="2"/>
      <c r="L235" s="2">
        <f>1.6855974</f>
        <v>1.6855974</v>
      </c>
    </row>
    <row r="236" spans="1:12" ht="17">
      <c r="A236" s="1" t="str">
        <f t="shared" si="10"/>
        <v>2020/05/14</v>
      </c>
      <c r="B236" s="1" t="str">
        <f>"16:00"</f>
        <v>16:00</v>
      </c>
      <c r="C236" s="2"/>
      <c r="D236" s="2">
        <f>0.1563942</f>
        <v>0.15639420000000001</v>
      </c>
      <c r="E236" s="2"/>
      <c r="F236" s="2">
        <f>0.9746408</f>
        <v>0.97464079999999997</v>
      </c>
      <c r="G236" s="2"/>
      <c r="H236" s="2">
        <f>2.3663232</f>
        <v>2.3663232000000001</v>
      </c>
      <c r="I236" s="2"/>
      <c r="J236" s="2">
        <f>3.6828275</f>
        <v>3.6828275000000001</v>
      </c>
      <c r="K236" s="2"/>
      <c r="L236" s="2">
        <f>4.469753</f>
        <v>4.4697529999999999</v>
      </c>
    </row>
    <row r="237" spans="1:12" ht="17">
      <c r="A237" s="1" t="str">
        <f t="shared" si="10"/>
        <v>2020/05/14</v>
      </c>
      <c r="B237" s="1" t="str">
        <f>"17:00"</f>
        <v>17:00</v>
      </c>
      <c r="C237" s="2"/>
      <c r="D237" s="2">
        <f>0.12934907</f>
        <v>0.12934907000000001</v>
      </c>
      <c r="E237" s="2"/>
      <c r="F237" s="2">
        <f>0.38435242</f>
        <v>0.38435241999999997</v>
      </c>
      <c r="G237" s="2"/>
      <c r="H237" s="2">
        <f>0.7685266</f>
        <v>0.76852659999999995</v>
      </c>
      <c r="I237" s="2"/>
      <c r="J237" s="2">
        <f>1.5520276</f>
        <v>1.5520276</v>
      </c>
      <c r="K237" s="2"/>
      <c r="L237" s="2">
        <f>2.085708</f>
        <v>2.0857079999999999</v>
      </c>
    </row>
    <row r="238" spans="1:12" ht="17">
      <c r="A238" s="1" t="str">
        <f t="shared" si="10"/>
        <v>2020/05/14</v>
      </c>
      <c r="B238" s="1" t="str">
        <f>"18:00"</f>
        <v>18:00</v>
      </c>
      <c r="C238" s="2"/>
      <c r="D238" s="2">
        <f>0.28043374</f>
        <v>0.28043373999999999</v>
      </c>
      <c r="E238" s="2"/>
      <c r="F238" s="2">
        <f>0.5082357</f>
        <v>0.50823569999999996</v>
      </c>
      <c r="G238" s="2"/>
      <c r="H238" s="2">
        <f>1.0961562</f>
        <v>1.0961562</v>
      </c>
      <c r="I238" s="2"/>
      <c r="J238" s="2">
        <f>1.8556042</f>
        <v>1.8556041999999999</v>
      </c>
      <c r="K238" s="2"/>
      <c r="L238" s="2">
        <f>2.2337112</f>
        <v>2.2337112000000001</v>
      </c>
    </row>
    <row r="239" spans="1:12" ht="17">
      <c r="A239" s="1" t="str">
        <f t="shared" si="10"/>
        <v>2020/05/14</v>
      </c>
      <c r="B239" s="1" t="str">
        <f>"19:00"</f>
        <v>19:00</v>
      </c>
      <c r="C239" s="2"/>
      <c r="D239" s="2">
        <f>0.37188524</f>
        <v>0.37188524000000001</v>
      </c>
      <c r="E239" s="2"/>
      <c r="F239" s="2">
        <f>0.5955542</f>
        <v>0.59555420000000003</v>
      </c>
      <c r="G239" s="2"/>
      <c r="H239" s="2">
        <f>2.5251646</f>
        <v>2.5251646000000001</v>
      </c>
      <c r="I239" s="2"/>
      <c r="J239" s="2">
        <f>2.2532842</f>
        <v>2.2532842</v>
      </c>
      <c r="K239" s="2"/>
      <c r="L239" s="2">
        <f>2.411623</f>
        <v>2.4116230000000001</v>
      </c>
    </row>
    <row r="240" spans="1:12" ht="17">
      <c r="A240" s="1" t="str">
        <f t="shared" si="10"/>
        <v>2020/05/14</v>
      </c>
      <c r="B240" s="1" t="str">
        <f>"20:00"</f>
        <v>20:00</v>
      </c>
      <c r="C240" s="2"/>
      <c r="D240" s="2">
        <f>0.49130663</f>
        <v>0.49130663000000002</v>
      </c>
      <c r="E240" s="2"/>
      <c r="F240" s="2">
        <f>0.58289075</f>
        <v>0.58289075000000001</v>
      </c>
      <c r="G240" s="2"/>
      <c r="H240" s="2">
        <f>1.3839868</f>
        <v>1.3839868</v>
      </c>
      <c r="I240" s="2"/>
      <c r="J240" s="2">
        <f>1.9906167</f>
        <v>1.9906166999999999</v>
      </c>
      <c r="K240" s="2"/>
      <c r="L240" s="2">
        <f>2.1720746</f>
        <v>2.1720746000000002</v>
      </c>
    </row>
    <row r="241" spans="1:12" ht="17">
      <c r="A241" s="1" t="str">
        <f t="shared" si="10"/>
        <v>2020/05/14</v>
      </c>
      <c r="B241" s="1" t="str">
        <f>"21:00"</f>
        <v>21:00</v>
      </c>
      <c r="C241" s="2"/>
      <c r="D241" s="2">
        <f>0.50116885</f>
        <v>0.50116885</v>
      </c>
      <c r="E241" s="2"/>
      <c r="F241" s="2">
        <f>0.48348707</f>
        <v>0.48348707000000002</v>
      </c>
      <c r="G241" s="2"/>
      <c r="H241" s="2">
        <f>1.3901808</f>
        <v>1.3901808</v>
      </c>
      <c r="I241" s="2"/>
      <c r="J241" s="2">
        <f>1.8445799</f>
        <v>1.8445799000000001</v>
      </c>
      <c r="K241" s="2"/>
      <c r="L241" s="2">
        <f>1.9792649</f>
        <v>1.9792649</v>
      </c>
    </row>
    <row r="242" spans="1:12" ht="17">
      <c r="A242" s="1" t="str">
        <f t="shared" si="10"/>
        <v>2020/05/14</v>
      </c>
      <c r="B242" s="1" t="str">
        <f>"22:00"</f>
        <v>22:00</v>
      </c>
      <c r="C242" s="2"/>
      <c r="D242" s="2">
        <f>0.5308286</f>
        <v>0.53082859999999998</v>
      </c>
      <c r="E242" s="2"/>
      <c r="F242" s="2">
        <f>0.5471349</f>
        <v>0.54713489999999998</v>
      </c>
      <c r="G242" s="2"/>
      <c r="H242" s="2">
        <f>2.012126</f>
        <v>2.0121259999999999</v>
      </c>
      <c r="I242" s="2"/>
      <c r="J242" s="2">
        <f>1.976521</f>
        <v>1.976521</v>
      </c>
      <c r="K242" s="2"/>
      <c r="L242" s="2">
        <f>2.1938488</f>
        <v>2.1938488</v>
      </c>
    </row>
    <row r="243" spans="1:12" ht="17">
      <c r="A243" s="1" t="str">
        <f t="shared" si="10"/>
        <v>2020/05/14</v>
      </c>
      <c r="B243" s="1" t="str">
        <f>"23:00"</f>
        <v>23:00</v>
      </c>
      <c r="C243" s="2"/>
      <c r="D243" s="2">
        <f>0.39088643</f>
        <v>0.39088643000000001</v>
      </c>
      <c r="E243" s="2"/>
      <c r="F243" s="2">
        <f>0.51842463</f>
        <v>0.51842463000000005</v>
      </c>
      <c r="G243" s="2"/>
      <c r="H243" s="2">
        <f>1.5465609</f>
        <v>1.5465609</v>
      </c>
      <c r="I243" s="2"/>
      <c r="J243" s="2">
        <f>1.6051599</f>
        <v>1.6051599000000001</v>
      </c>
      <c r="K243" s="2"/>
      <c r="L243" s="2">
        <f>2.0355194</f>
        <v>2.0355194000000001</v>
      </c>
    </row>
    <row r="244" spans="1:12" ht="17">
      <c r="A244" s="1" t="str">
        <f t="shared" si="10"/>
        <v>2020/05/14</v>
      </c>
      <c r="B244" s="1" t="str">
        <f>"24:00"</f>
        <v>24:00</v>
      </c>
      <c r="C244" s="2"/>
      <c r="D244" s="2">
        <f>0.3007045</f>
        <v>0.30070449999999999</v>
      </c>
      <c r="E244" s="2"/>
      <c r="F244" s="2">
        <f>0.33847857</f>
        <v>0.33847856999999998</v>
      </c>
      <c r="G244" s="2"/>
      <c r="H244" s="2">
        <f>0.7756159</f>
        <v>0.77561590000000002</v>
      </c>
      <c r="I244" s="2"/>
      <c r="J244" s="2">
        <f>1.4205599</f>
        <v>1.4205599</v>
      </c>
      <c r="K244" s="2"/>
      <c r="L244" s="2">
        <f>1.5115345</f>
        <v>1.5115345</v>
      </c>
    </row>
    <row r="245" spans="1:12" ht="17">
      <c r="A245" s="1" t="str">
        <f t="shared" ref="A245:A268" si="11">"2020/05/15"</f>
        <v>2020/05/15</v>
      </c>
      <c r="B245" s="1" t="str">
        <f>"01:00"</f>
        <v>01:00</v>
      </c>
      <c r="C245" s="2">
        <f>0.64282614</f>
        <v>0.64282614000000005</v>
      </c>
      <c r="D245" s="2">
        <f>0.17151026</f>
        <v>0.17151026</v>
      </c>
      <c r="E245" s="2">
        <f>0.67373055</f>
        <v>0.67373055000000004</v>
      </c>
      <c r="F245" s="2">
        <f>0.27567852</f>
        <v>0.27567851999999998</v>
      </c>
      <c r="G245" s="2">
        <f>1.8769794</f>
        <v>1.8769794</v>
      </c>
      <c r="H245" s="2">
        <f>0.53841203</f>
        <v>0.53841203000000004</v>
      </c>
      <c r="I245" s="2">
        <f>2.4779558</f>
        <v>2.4779558000000002</v>
      </c>
      <c r="J245" s="2">
        <f>1.5579407</f>
        <v>1.5579407000000001</v>
      </c>
      <c r="K245" s="2">
        <f>2.6848836</f>
        <v>2.6848836</v>
      </c>
      <c r="L245" s="2">
        <f>1.2658799</f>
        <v>1.2658799000000001</v>
      </c>
    </row>
    <row r="246" spans="1:12" ht="17">
      <c r="A246" s="1" t="str">
        <f t="shared" si="11"/>
        <v>2020/05/15</v>
      </c>
      <c r="B246" s="1" t="str">
        <f>"02:00"</f>
        <v>02:00</v>
      </c>
      <c r="C246" s="2"/>
      <c r="D246" s="2">
        <f>0.17635013</f>
        <v>0.17635012999999999</v>
      </c>
      <c r="E246" s="2"/>
      <c r="F246" s="2">
        <f>0.38098964</f>
        <v>0.38098964000000002</v>
      </c>
      <c r="G246" s="2"/>
      <c r="H246" s="2">
        <f>0.5172067</f>
        <v>0.51720670000000002</v>
      </c>
      <c r="I246" s="2"/>
      <c r="J246" s="2">
        <f>1.2971247</f>
        <v>1.2971246999999999</v>
      </c>
      <c r="K246" s="2"/>
      <c r="L246" s="2">
        <f>1.258503</f>
        <v>1.2585029999999999</v>
      </c>
    </row>
    <row r="247" spans="1:12" ht="17">
      <c r="A247" s="1" t="str">
        <f t="shared" si="11"/>
        <v>2020/05/15</v>
      </c>
      <c r="B247" s="1" t="str">
        <f>"03:00"</f>
        <v>03:00</v>
      </c>
      <c r="C247" s="2"/>
      <c r="D247" s="2">
        <f>0.2312581</f>
        <v>0.23125809999999999</v>
      </c>
      <c r="E247" s="2"/>
      <c r="F247" s="2">
        <f>0.2976628</f>
        <v>0.29766280000000001</v>
      </c>
      <c r="G247" s="2"/>
      <c r="H247" s="2">
        <f>0.37298775</f>
        <v>0.37298775000000001</v>
      </c>
      <c r="I247" s="2"/>
      <c r="J247" s="2">
        <f>1.0895985</f>
        <v>1.0895984999999999</v>
      </c>
      <c r="K247" s="2"/>
      <c r="L247" s="2">
        <f>1.0037029</f>
        <v>1.0037029</v>
      </c>
    </row>
    <row r="248" spans="1:12" ht="17">
      <c r="A248" s="1" t="str">
        <f t="shared" si="11"/>
        <v>2020/05/15</v>
      </c>
      <c r="B248" s="1" t="str">
        <f>"04:00"</f>
        <v>04:00</v>
      </c>
      <c r="C248" s="2"/>
      <c r="D248" s="2">
        <f>0.55491966</f>
        <v>0.55491966000000004</v>
      </c>
      <c r="E248" s="2"/>
      <c r="F248" s="2">
        <f>0.26647264</f>
        <v>0.26647263999999998</v>
      </c>
      <c r="G248" s="2"/>
      <c r="H248" s="2">
        <f>0.6384901</f>
        <v>0.63849009999999995</v>
      </c>
      <c r="I248" s="2"/>
      <c r="J248" s="2">
        <f>1.0766327</f>
        <v>1.0766327</v>
      </c>
      <c r="K248" s="2"/>
      <c r="L248" s="2">
        <f>0.94108516</f>
        <v>0.94108515999999998</v>
      </c>
    </row>
    <row r="249" spans="1:12" ht="17">
      <c r="A249" s="1" t="str">
        <f t="shared" si="11"/>
        <v>2020/05/15</v>
      </c>
      <c r="B249" s="1" t="str">
        <f>"05:00"</f>
        <v>05:00</v>
      </c>
      <c r="C249" s="2"/>
      <c r="D249" s="2">
        <f>0.31761652</f>
        <v>0.31761652000000001</v>
      </c>
      <c r="E249" s="2"/>
      <c r="F249" s="2">
        <f>0.32023355</f>
        <v>0.32023354999999998</v>
      </c>
      <c r="G249" s="2"/>
      <c r="H249" s="2">
        <f>0.49402496</f>
        <v>0.49402496000000001</v>
      </c>
      <c r="I249" s="2"/>
      <c r="J249" s="2">
        <f>1.2200512</f>
        <v>1.2200511999999999</v>
      </c>
      <c r="K249" s="2"/>
      <c r="L249" s="2">
        <f>0.93846065</f>
        <v>0.93846065000000001</v>
      </c>
    </row>
    <row r="250" spans="1:12" ht="17">
      <c r="A250" s="1" t="str">
        <f t="shared" si="11"/>
        <v>2020/05/15</v>
      </c>
      <c r="B250" s="1" t="str">
        <f>"06:00"</f>
        <v>06:00</v>
      </c>
      <c r="C250" s="2"/>
      <c r="D250" s="2">
        <f>0.24099118</f>
        <v>0.24099118</v>
      </c>
      <c r="E250" s="2"/>
      <c r="F250" s="2">
        <f>0.31022677</f>
        <v>0.31022676999999999</v>
      </c>
      <c r="G250" s="2"/>
      <c r="H250" s="2">
        <f>0.5737394</f>
        <v>0.57373940000000001</v>
      </c>
      <c r="I250" s="2"/>
      <c r="J250" s="2">
        <f>1.069925</f>
        <v>1.069925</v>
      </c>
      <c r="K250" s="2"/>
      <c r="L250" s="2">
        <f>1.0191964</f>
        <v>1.0191964</v>
      </c>
    </row>
    <row r="251" spans="1:12" ht="17">
      <c r="A251" s="1" t="str">
        <f t="shared" si="11"/>
        <v>2020/05/15</v>
      </c>
      <c r="B251" s="1" t="str">
        <f>"07:00"</f>
        <v>07:00</v>
      </c>
      <c r="C251" s="2"/>
      <c r="D251" s="2">
        <f>0.42419887</f>
        <v>0.42419887000000001</v>
      </c>
      <c r="E251" s="2"/>
      <c r="F251" s="2">
        <f>0.31932008</f>
        <v>0.31932008000000001</v>
      </c>
      <c r="G251" s="2"/>
      <c r="H251" s="2">
        <f>0.77638084</f>
        <v>0.77638083999999996</v>
      </c>
      <c r="I251" s="2"/>
      <c r="J251" s="2">
        <f>1.1736244</f>
        <v>1.1736244</v>
      </c>
      <c r="K251" s="2"/>
      <c r="L251" s="2">
        <f>1.1575091</f>
        <v>1.1575091</v>
      </c>
    </row>
    <row r="252" spans="1:12" ht="17">
      <c r="A252" s="1" t="str">
        <f t="shared" si="11"/>
        <v>2020/05/15</v>
      </c>
      <c r="B252" s="1" t="str">
        <f>"08:00"</f>
        <v>08:00</v>
      </c>
      <c r="C252" s="2"/>
      <c r="D252" s="2">
        <f>0.3512341</f>
        <v>0.35123409999999999</v>
      </c>
      <c r="E252" s="2"/>
      <c r="F252" s="2">
        <f>0.37822452</f>
        <v>0.37822452000000001</v>
      </c>
      <c r="G252" s="2"/>
      <c r="H252" s="2">
        <f>0.92232686</f>
        <v>0.92232685999999997</v>
      </c>
      <c r="I252" s="2"/>
      <c r="J252" s="2">
        <f>1.4455135</f>
        <v>1.4455134999999999</v>
      </c>
      <c r="K252" s="2"/>
      <c r="L252" s="2">
        <f>1.5883965</f>
        <v>1.5883965</v>
      </c>
    </row>
    <row r="253" spans="1:12" ht="17">
      <c r="A253" s="1" t="str">
        <f t="shared" si="11"/>
        <v>2020/05/15</v>
      </c>
      <c r="B253" s="1" t="str">
        <f>"09:00"</f>
        <v>09:00</v>
      </c>
      <c r="C253" s="2"/>
      <c r="D253" s="2">
        <f>0.5612802</f>
        <v>0.56128020000000001</v>
      </c>
      <c r="E253" s="2"/>
      <c r="F253" s="2">
        <f>0.65963066</f>
        <v>0.65963066000000004</v>
      </c>
      <c r="G253" s="2"/>
      <c r="H253" s="2">
        <f>1.9501262</f>
        <v>1.9501261999999999</v>
      </c>
      <c r="I253" s="2"/>
      <c r="J253" s="2">
        <f>2.6326823</f>
        <v>2.6326822999999999</v>
      </c>
      <c r="K253" s="2"/>
      <c r="L253" s="2">
        <f>2.393519</f>
        <v>2.393519</v>
      </c>
    </row>
    <row r="254" spans="1:12" ht="17">
      <c r="A254" s="1" t="str">
        <f t="shared" si="11"/>
        <v>2020/05/15</v>
      </c>
      <c r="B254" s="1" t="str">
        <f>"10:00"</f>
        <v>10:00</v>
      </c>
      <c r="C254" s="2"/>
      <c r="D254" s="2">
        <f>0.56598675</f>
        <v>0.56598674999999998</v>
      </c>
      <c r="E254" s="2"/>
      <c r="F254" s="2">
        <f>1.2829596</f>
        <v>1.2829596000000001</v>
      </c>
      <c r="G254" s="2"/>
      <c r="H254" s="2">
        <f>3.888418</f>
        <v>3.8884180000000002</v>
      </c>
      <c r="I254" s="2"/>
      <c r="J254" s="2">
        <f>4.5094676</f>
        <v>4.5094675999999998</v>
      </c>
      <c r="K254" s="2"/>
      <c r="L254" s="2">
        <f>5.715831</f>
        <v>5.7158309999999997</v>
      </c>
    </row>
    <row r="255" spans="1:12" ht="17">
      <c r="A255" s="1" t="str">
        <f t="shared" si="11"/>
        <v>2020/05/15</v>
      </c>
      <c r="B255" s="1" t="str">
        <f>"11:00"</f>
        <v>11:00</v>
      </c>
      <c r="C255" s="2"/>
      <c r="D255" s="2">
        <f>1.0958233</f>
        <v>1.0958232999999999</v>
      </c>
      <c r="E255" s="2"/>
      <c r="F255" s="2">
        <f>1.5693142</f>
        <v>1.5693142</v>
      </c>
      <c r="G255" s="2"/>
      <c r="H255" s="2">
        <f>4.7332683</f>
        <v>4.7332682999999998</v>
      </c>
      <c r="I255" s="2"/>
      <c r="J255" s="2">
        <f>6.1612043</f>
        <v>6.1612042999999996</v>
      </c>
      <c r="K255" s="2"/>
      <c r="L255" s="2">
        <f>7.62269</f>
        <v>7.6226900000000004</v>
      </c>
    </row>
    <row r="256" spans="1:12" ht="17">
      <c r="A256" s="1" t="str">
        <f t="shared" si="11"/>
        <v>2020/05/15</v>
      </c>
      <c r="B256" s="1" t="str">
        <f>"12:00"</f>
        <v>12:00</v>
      </c>
      <c r="C256" s="2"/>
      <c r="D256" s="2">
        <f>0.9029884</f>
        <v>0.90298840000000002</v>
      </c>
      <c r="E256" s="2"/>
      <c r="F256" s="2">
        <f>1.1559765</f>
        <v>1.1559765</v>
      </c>
      <c r="G256" s="2"/>
      <c r="H256" s="2">
        <f>2.3443935</f>
        <v>2.3443934999999998</v>
      </c>
      <c r="I256" s="2"/>
      <c r="J256" s="2">
        <f>5.3266873</f>
        <v>5.3266872999999997</v>
      </c>
      <c r="K256" s="2"/>
      <c r="L256" s="2">
        <f>5.1100945</f>
        <v>5.1100944999999998</v>
      </c>
    </row>
    <row r="257" spans="1:12" ht="17">
      <c r="A257" s="1" t="str">
        <f t="shared" si="11"/>
        <v>2020/05/15</v>
      </c>
      <c r="B257" s="1" t="str">
        <f>"13:00"</f>
        <v>13:00</v>
      </c>
      <c r="C257" s="2"/>
      <c r="D257" s="2">
        <f>0.5732475</f>
        <v>0.57324750000000002</v>
      </c>
      <c r="E257" s="2"/>
      <c r="F257" s="2">
        <f>0.72506535</f>
        <v>0.72506535000000005</v>
      </c>
      <c r="G257" s="2"/>
      <c r="H257" s="2">
        <f>2.243985</f>
        <v>2.2439849999999999</v>
      </c>
      <c r="I257" s="2"/>
      <c r="J257" s="2">
        <f>3.1400316</f>
        <v>3.1400315999999999</v>
      </c>
      <c r="K257" s="2"/>
      <c r="L257" s="2">
        <f>3.3824635</f>
        <v>3.3824635000000001</v>
      </c>
    </row>
    <row r="258" spans="1:12" ht="17">
      <c r="A258" s="1" t="str">
        <f t="shared" si="11"/>
        <v>2020/05/15</v>
      </c>
      <c r="B258" s="1" t="str">
        <f>"14:00"</f>
        <v>14:00</v>
      </c>
      <c r="C258" s="2"/>
      <c r="D258" s="2">
        <f>0.66159976</f>
        <v>0.66159975999999998</v>
      </c>
      <c r="E258" s="2"/>
      <c r="F258" s="2">
        <f>0.6717794</f>
        <v>0.67177940000000003</v>
      </c>
      <c r="G258" s="2"/>
      <c r="H258" s="2">
        <f>2.102149</f>
        <v>2.1021489999999998</v>
      </c>
      <c r="I258" s="2"/>
      <c r="J258" s="2">
        <f>2.568974</f>
        <v>2.5689739999999999</v>
      </c>
      <c r="K258" s="2"/>
      <c r="L258" s="2">
        <f>2.578599</f>
        <v>2.5785990000000001</v>
      </c>
    </row>
    <row r="259" spans="1:12" ht="17">
      <c r="A259" s="1" t="str">
        <f t="shared" si="11"/>
        <v>2020/05/15</v>
      </c>
      <c r="B259" s="1" t="str">
        <f>"15:00"</f>
        <v>15:00</v>
      </c>
      <c r="C259" s="2"/>
      <c r="D259" s="2">
        <f>0.4324653</f>
        <v>0.4324653</v>
      </c>
      <c r="E259" s="2"/>
      <c r="F259" s="2">
        <f>0.4677594</f>
        <v>0.46775939999999999</v>
      </c>
      <c r="G259" s="2"/>
      <c r="H259" s="2">
        <f>1.1561977</f>
        <v>1.1561977000000001</v>
      </c>
      <c r="I259" s="2"/>
      <c r="J259" s="2">
        <f>1.608608</f>
        <v>1.608608</v>
      </c>
      <c r="K259" s="2"/>
      <c r="L259" s="2">
        <f>1.9299628</f>
        <v>1.9299628</v>
      </c>
    </row>
    <row r="260" spans="1:12" ht="17">
      <c r="A260" s="1" t="str">
        <f t="shared" si="11"/>
        <v>2020/05/15</v>
      </c>
      <c r="B260" s="1" t="str">
        <f>"16:00"</f>
        <v>16:00</v>
      </c>
      <c r="C260" s="2"/>
      <c r="D260" s="2">
        <f>0.469007</f>
        <v>0.46900700000000001</v>
      </c>
      <c r="E260" s="2"/>
      <c r="F260" s="2">
        <f>0.44169664</f>
        <v>0.44169663999999997</v>
      </c>
      <c r="G260" s="2"/>
      <c r="H260" s="2">
        <f>0.708656</f>
        <v>0.70865599999999995</v>
      </c>
      <c r="I260" s="2"/>
      <c r="J260" s="2">
        <f>1.3328133</f>
        <v>1.3328133</v>
      </c>
      <c r="K260" s="2"/>
      <c r="L260" s="2">
        <f>1.3867619</f>
        <v>1.3867619</v>
      </c>
    </row>
    <row r="261" spans="1:12" ht="17">
      <c r="A261" s="1" t="str">
        <f t="shared" si="11"/>
        <v>2020/05/15</v>
      </c>
      <c r="B261" s="1" t="str">
        <f>"17:00"</f>
        <v>17:00</v>
      </c>
      <c r="C261" s="2"/>
      <c r="D261" s="2">
        <f>0.42553097</f>
        <v>0.42553097000000001</v>
      </c>
      <c r="E261" s="2"/>
      <c r="F261" s="2">
        <f>1.0723447</f>
        <v>1.0723446999999999</v>
      </c>
      <c r="G261" s="2"/>
      <c r="H261" s="2">
        <f>0.8122957</f>
        <v>0.81229569999999995</v>
      </c>
      <c r="I261" s="2"/>
      <c r="J261" s="2">
        <f>0.8945824</f>
        <v>0.8945824</v>
      </c>
      <c r="K261" s="2"/>
      <c r="L261" s="2">
        <f>0.8861444</f>
        <v>0.88614440000000005</v>
      </c>
    </row>
    <row r="262" spans="1:12" ht="17">
      <c r="A262" s="1" t="str">
        <f t="shared" si="11"/>
        <v>2020/05/15</v>
      </c>
      <c r="B262" s="1" t="str">
        <f>"18:00"</f>
        <v>18:00</v>
      </c>
      <c r="C262" s="2"/>
      <c r="D262" s="2">
        <f>0.5377248</f>
        <v>0.5377248</v>
      </c>
      <c r="E262" s="2"/>
      <c r="F262" s="2">
        <f>0.49549475</f>
        <v>0.49549474999999998</v>
      </c>
      <c r="G262" s="2"/>
      <c r="H262" s="2">
        <f>1.4412644</f>
        <v>1.4412643999999999</v>
      </c>
      <c r="I262" s="2"/>
      <c r="J262" s="2">
        <f>1.8223932</f>
        <v>1.8223932</v>
      </c>
      <c r="K262" s="2"/>
      <c r="L262" s="2">
        <f>2.1099436</f>
        <v>2.1099435999999998</v>
      </c>
    </row>
    <row r="263" spans="1:12" ht="17">
      <c r="A263" s="1" t="str">
        <f t="shared" si="11"/>
        <v>2020/05/15</v>
      </c>
      <c r="B263" s="1" t="str">
        <f>"19:00"</f>
        <v>19:00</v>
      </c>
      <c r="C263" s="2"/>
      <c r="D263" s="2">
        <f>0.67537326</f>
        <v>0.67537325999999998</v>
      </c>
      <c r="E263" s="2"/>
      <c r="F263" s="2">
        <f>0.5130641</f>
        <v>0.51306410000000002</v>
      </c>
      <c r="G263" s="2"/>
      <c r="H263" s="2">
        <f>1.7844925</f>
        <v>1.7844925</v>
      </c>
      <c r="I263" s="2"/>
      <c r="J263" s="2">
        <f>2.1875324</f>
        <v>2.1875323999999998</v>
      </c>
      <c r="K263" s="2"/>
      <c r="L263" s="2">
        <f>2.2290041</f>
        <v>2.2290041</v>
      </c>
    </row>
    <row r="264" spans="1:12" ht="17">
      <c r="A264" s="1" t="str">
        <f t="shared" si="11"/>
        <v>2020/05/15</v>
      </c>
      <c r="B264" s="1" t="str">
        <f>"20:00"</f>
        <v>20:00</v>
      </c>
      <c r="C264" s="2"/>
      <c r="D264" s="2">
        <f>0.78479147</f>
        <v>0.78479147000000005</v>
      </c>
      <c r="E264" s="2"/>
      <c r="F264" s="2">
        <f>0.72394973</f>
        <v>0.72394972999999996</v>
      </c>
      <c r="G264" s="2"/>
      <c r="H264" s="2">
        <f>2.7077887</f>
        <v>2.7077887</v>
      </c>
      <c r="I264" s="2"/>
      <c r="J264" s="2">
        <f>2.8550603</f>
        <v>2.8550602999999999</v>
      </c>
      <c r="K264" s="2"/>
      <c r="L264" s="2">
        <f>3.744445</f>
        <v>3.7444449999999998</v>
      </c>
    </row>
    <row r="265" spans="1:12" ht="17">
      <c r="A265" s="1" t="str">
        <f t="shared" si="11"/>
        <v>2020/05/15</v>
      </c>
      <c r="B265" s="1" t="str">
        <f>"21:00"</f>
        <v>21:00</v>
      </c>
      <c r="C265" s="2"/>
      <c r="D265" s="2">
        <f>1.263707</f>
        <v>1.2637069999999999</v>
      </c>
      <c r="E265" s="2"/>
      <c r="F265" s="2">
        <f>0.93814874</f>
        <v>0.93814874000000004</v>
      </c>
      <c r="G265" s="2"/>
      <c r="H265" s="2">
        <f>3.3266923</f>
        <v>3.3266922999999999</v>
      </c>
      <c r="I265" s="2"/>
      <c r="J265" s="2">
        <f>3.3519208</f>
        <v>3.3519207999999998</v>
      </c>
      <c r="K265" s="2"/>
      <c r="L265" s="2">
        <f>3.900056</f>
        <v>3.9000560000000002</v>
      </c>
    </row>
    <row r="266" spans="1:12" ht="17">
      <c r="A266" s="1" t="str">
        <f t="shared" si="11"/>
        <v>2020/05/15</v>
      </c>
      <c r="B266" s="1" t="str">
        <f>"22:00"</f>
        <v>22:00</v>
      </c>
      <c r="C266" s="2"/>
      <c r="D266" s="2">
        <f>1.7259687</f>
        <v>1.7259686999999999</v>
      </c>
      <c r="E266" s="2"/>
      <c r="F266" s="2">
        <f>1.015964</f>
        <v>1.0159640000000001</v>
      </c>
      <c r="G266" s="2"/>
      <c r="H266" s="2">
        <f>3.4549913</f>
        <v>3.4549913000000001</v>
      </c>
      <c r="I266" s="2"/>
      <c r="J266" s="2">
        <f>3.6933453</f>
        <v>3.6933452999999998</v>
      </c>
      <c r="K266" s="2"/>
      <c r="L266" s="2">
        <f>4.1248703</f>
        <v>4.1248703000000004</v>
      </c>
    </row>
    <row r="267" spans="1:12" ht="17">
      <c r="A267" s="1" t="str">
        <f t="shared" si="11"/>
        <v>2020/05/15</v>
      </c>
      <c r="B267" s="1" t="str">
        <f>"23:00"</f>
        <v>23:00</v>
      </c>
      <c r="C267" s="2"/>
      <c r="D267" s="2">
        <f>1.4345788</f>
        <v>1.4345787999999999</v>
      </c>
      <c r="E267" s="2"/>
      <c r="F267" s="2">
        <f>1.007363</f>
        <v>1.007363</v>
      </c>
      <c r="G267" s="2"/>
      <c r="H267" s="2">
        <f>4.4731784</f>
        <v>4.4731784000000001</v>
      </c>
      <c r="I267" s="2"/>
      <c r="J267" s="2">
        <f>4.008941</f>
        <v>4.0089410000000001</v>
      </c>
      <c r="K267" s="2"/>
      <c r="L267" s="2">
        <f>4.530598</f>
        <v>4.5305980000000003</v>
      </c>
    </row>
    <row r="268" spans="1:12" ht="17">
      <c r="A268" s="1" t="str">
        <f t="shared" si="11"/>
        <v>2020/05/15</v>
      </c>
      <c r="B268" s="1" t="str">
        <f>"24:00"</f>
        <v>24:00</v>
      </c>
      <c r="C268" s="2"/>
      <c r="D268" s="2">
        <f>0.8496749</f>
        <v>0.84967490000000001</v>
      </c>
      <c r="E268" s="2"/>
      <c r="F268" s="2">
        <f>0.8802134</f>
        <v>0.88021340000000003</v>
      </c>
      <c r="G268" s="2"/>
      <c r="H268" s="2">
        <f>3.0860376</f>
        <v>3.0860376</v>
      </c>
      <c r="I268" s="2"/>
      <c r="J268" s="2">
        <f>3.4462857</f>
        <v>3.4462856999999998</v>
      </c>
      <c r="K268" s="2"/>
      <c r="L268" s="2">
        <f>3.6194878</f>
        <v>3.6194877999999999</v>
      </c>
    </row>
    <row r="269" spans="1:12" ht="17">
      <c r="A269" s="1" t="str">
        <f t="shared" ref="A269:A292" si="12">"2020/05/16"</f>
        <v>2020/05/16</v>
      </c>
      <c r="B269" s="1" t="str">
        <f>"01:00"</f>
        <v>01:00</v>
      </c>
      <c r="C269" s="2">
        <f>0.74616563</f>
        <v>0.74616563000000002</v>
      </c>
      <c r="D269" s="2">
        <f>0.64015067</f>
        <v>0.64015067000000003</v>
      </c>
      <c r="E269" s="2">
        <f>0.6223909</f>
        <v>0.62239089999999997</v>
      </c>
      <c r="F269" s="2">
        <f>0.804285</f>
        <v>0.80428500000000003</v>
      </c>
      <c r="G269" s="2">
        <f>2.0521557</f>
        <v>2.0521557000000001</v>
      </c>
      <c r="H269" s="2">
        <f>2.825998</f>
        <v>2.8259979999999998</v>
      </c>
      <c r="I269" s="2">
        <f>2.2967532</f>
        <v>2.2967531999999999</v>
      </c>
      <c r="J269" s="2">
        <f>2.7985137</f>
        <v>2.7985137</v>
      </c>
      <c r="K269" s="2">
        <f>2.7693973</f>
        <v>2.7693973000000001</v>
      </c>
      <c r="L269" s="2">
        <f>2.871663</f>
        <v>2.8716629999999999</v>
      </c>
    </row>
    <row r="270" spans="1:12" ht="17">
      <c r="A270" s="1" t="str">
        <f t="shared" si="12"/>
        <v>2020/05/16</v>
      </c>
      <c r="B270" s="1" t="str">
        <f>"02:00"</f>
        <v>02:00</v>
      </c>
      <c r="C270" s="2"/>
      <c r="D270" s="2">
        <f>0.5037792</f>
        <v>0.50377919999999998</v>
      </c>
      <c r="E270" s="2"/>
      <c r="F270" s="2">
        <f>0.52102506</f>
        <v>0.52102506000000004</v>
      </c>
      <c r="G270" s="2"/>
      <c r="H270" s="2">
        <f>1.6196476</f>
        <v>1.6196476</v>
      </c>
      <c r="I270" s="2"/>
      <c r="J270" s="2">
        <f>1.8255686</f>
        <v>1.8255686</v>
      </c>
      <c r="K270" s="2"/>
      <c r="L270" s="2">
        <f>2.3606043</f>
        <v>2.3606042999999999</v>
      </c>
    </row>
    <row r="271" spans="1:12" ht="17">
      <c r="A271" s="1" t="str">
        <f t="shared" si="12"/>
        <v>2020/05/16</v>
      </c>
      <c r="B271" s="1" t="str">
        <f>"03:00"</f>
        <v>03:00</v>
      </c>
      <c r="C271" s="2"/>
      <c r="D271" s="2">
        <f>0.29444796</f>
        <v>0.29444796000000001</v>
      </c>
      <c r="E271" s="2"/>
      <c r="F271" s="2">
        <f>0.33401835</f>
        <v>0.33401835000000002</v>
      </c>
      <c r="G271" s="2"/>
      <c r="H271" s="2">
        <f>1.1007218</f>
        <v>1.1007218000000001</v>
      </c>
      <c r="I271" s="2"/>
      <c r="J271" s="2">
        <f>1.6014597</f>
        <v>1.6014596999999999</v>
      </c>
      <c r="K271" s="2"/>
      <c r="L271" s="2">
        <f>1.8336991</f>
        <v>1.8336991</v>
      </c>
    </row>
    <row r="272" spans="1:12" ht="17">
      <c r="A272" s="1" t="str">
        <f t="shared" si="12"/>
        <v>2020/05/16</v>
      </c>
      <c r="B272" s="1" t="str">
        <f>"04:00"</f>
        <v>04:00</v>
      </c>
      <c r="C272" s="2"/>
      <c r="D272" s="2">
        <f>0.2518026</f>
        <v>0.25180259999999999</v>
      </c>
      <c r="E272" s="2"/>
      <c r="F272" s="2">
        <f>0.4828621</f>
        <v>0.48286210000000002</v>
      </c>
      <c r="G272" s="2"/>
      <c r="H272" s="2">
        <f>0.85446334</f>
        <v>0.85446334000000002</v>
      </c>
      <c r="I272" s="2"/>
      <c r="J272" s="2">
        <f>1.3252456</f>
        <v>1.3252455999999999</v>
      </c>
      <c r="K272" s="2"/>
      <c r="L272" s="2">
        <f>2.009784</f>
        <v>2.0097839999999998</v>
      </c>
    </row>
    <row r="273" spans="1:12" ht="17">
      <c r="A273" s="1" t="str">
        <f t="shared" si="12"/>
        <v>2020/05/16</v>
      </c>
      <c r="B273" s="1" t="str">
        <f>"05:00"</f>
        <v>05:00</v>
      </c>
      <c r="C273" s="2"/>
      <c r="D273" s="2">
        <f>0.3097628</f>
        <v>0.3097628</v>
      </c>
      <c r="E273" s="2"/>
      <c r="F273" s="2">
        <f>0.44121376</f>
        <v>0.44121376000000001</v>
      </c>
      <c r="G273" s="2"/>
      <c r="H273" s="2">
        <f>1.4408084</f>
        <v>1.4408084000000001</v>
      </c>
      <c r="I273" s="2"/>
      <c r="J273" s="2">
        <f>1.6206698</f>
        <v>1.6206697999999999</v>
      </c>
      <c r="K273" s="2"/>
      <c r="L273" s="2">
        <f>2.0972736</f>
        <v>2.0972735999999998</v>
      </c>
    </row>
    <row r="274" spans="1:12" ht="17">
      <c r="A274" s="1" t="str">
        <f t="shared" si="12"/>
        <v>2020/05/16</v>
      </c>
      <c r="B274" s="1" t="str">
        <f>"06:00"</f>
        <v>06:00</v>
      </c>
      <c r="C274" s="2"/>
      <c r="D274" s="2">
        <f>1.0160654</f>
        <v>1.0160654</v>
      </c>
      <c r="E274" s="2"/>
      <c r="F274" s="2">
        <f>1.3838907</f>
        <v>1.3838907</v>
      </c>
      <c r="G274" s="2"/>
      <c r="H274" s="2">
        <f>6.609979</f>
        <v>6.609979</v>
      </c>
      <c r="I274" s="2"/>
      <c r="J274" s="2">
        <f>5.0100255</f>
        <v>5.0100255000000002</v>
      </c>
      <c r="K274" s="2"/>
      <c r="L274" s="2">
        <f>4.738009</f>
        <v>4.7380089999999999</v>
      </c>
    </row>
    <row r="275" spans="1:12" ht="17">
      <c r="A275" s="1" t="str">
        <f t="shared" si="12"/>
        <v>2020/05/16</v>
      </c>
      <c r="B275" s="1" t="str">
        <f>"07:00"</f>
        <v>07:00</v>
      </c>
      <c r="C275" s="2"/>
      <c r="D275" s="2">
        <f>0.58910143</f>
        <v>0.58910143000000004</v>
      </c>
      <c r="E275" s="2"/>
      <c r="F275" s="2">
        <f>0.6266676</f>
        <v>0.62666759999999999</v>
      </c>
      <c r="G275" s="2"/>
      <c r="H275" s="2">
        <f>1.8162929</f>
        <v>1.8162929000000001</v>
      </c>
      <c r="I275" s="2"/>
      <c r="J275" s="2">
        <f>2.1346123</f>
        <v>2.1346123000000001</v>
      </c>
      <c r="K275" s="2"/>
      <c r="L275" s="2">
        <f>2.8550775</f>
        <v>2.8550775000000002</v>
      </c>
    </row>
    <row r="276" spans="1:12" ht="17">
      <c r="A276" s="1" t="str">
        <f t="shared" si="12"/>
        <v>2020/05/16</v>
      </c>
      <c r="B276" s="1" t="str">
        <f>"08:00"</f>
        <v>08:00</v>
      </c>
      <c r="C276" s="2"/>
      <c r="D276" s="2">
        <f>1.2755454</f>
        <v>1.2755453999999999</v>
      </c>
      <c r="E276" s="2"/>
      <c r="F276" s="2">
        <f>0.9762464</f>
        <v>0.97624639999999996</v>
      </c>
      <c r="G276" s="2"/>
      <c r="H276" s="2">
        <f>3.5699267</f>
        <v>3.5699266999999999</v>
      </c>
      <c r="I276" s="2"/>
      <c r="J276" s="2">
        <f>3.4120715</f>
        <v>3.4120715000000001</v>
      </c>
      <c r="K276" s="2"/>
      <c r="L276" s="2">
        <f>4.1991386</f>
        <v>4.1991386000000004</v>
      </c>
    </row>
    <row r="277" spans="1:12" ht="17">
      <c r="A277" s="1" t="str">
        <f t="shared" si="12"/>
        <v>2020/05/16</v>
      </c>
      <c r="B277" s="1" t="str">
        <f>"09:00"</f>
        <v>09:00</v>
      </c>
      <c r="C277" s="2"/>
      <c r="D277" s="2">
        <f>1.9790537</f>
        <v>1.9790536999999999</v>
      </c>
      <c r="E277" s="2"/>
      <c r="F277" s="2">
        <f>1.2021397</f>
        <v>1.2021397</v>
      </c>
      <c r="G277" s="2"/>
      <c r="H277" s="2">
        <f>5.3483477</f>
        <v>5.3483476999999997</v>
      </c>
      <c r="I277" s="2"/>
      <c r="J277" s="2">
        <f>4.588519</f>
        <v>4.5885189999999998</v>
      </c>
      <c r="K277" s="2"/>
      <c r="L277" s="2">
        <f>4.537165</f>
        <v>4.5371649999999999</v>
      </c>
    </row>
    <row r="278" spans="1:12" ht="17">
      <c r="A278" s="1" t="str">
        <f t="shared" si="12"/>
        <v>2020/05/16</v>
      </c>
      <c r="B278" s="1" t="str">
        <f>"10:00"</f>
        <v>10:00</v>
      </c>
      <c r="C278" s="2"/>
      <c r="D278" s="2">
        <f>2.0393188</f>
        <v>2.0393188000000002</v>
      </c>
      <c r="E278" s="2"/>
      <c r="F278" s="2">
        <f>0.8143071</f>
        <v>0.81430709999999995</v>
      </c>
      <c r="G278" s="2"/>
      <c r="H278" s="2">
        <f>2.7710884</f>
        <v>2.7710884</v>
      </c>
      <c r="I278" s="2"/>
      <c r="J278" s="2">
        <f>2.9631422</f>
        <v>2.9631422000000001</v>
      </c>
      <c r="K278" s="2"/>
      <c r="L278" s="2">
        <f>3.078435</f>
        <v>3.0784349999999998</v>
      </c>
    </row>
    <row r="279" spans="1:12" ht="17">
      <c r="A279" s="1" t="str">
        <f t="shared" si="12"/>
        <v>2020/05/16</v>
      </c>
      <c r="B279" s="1" t="str">
        <f>"11:00"</f>
        <v>11:00</v>
      </c>
      <c r="C279" s="2"/>
      <c r="D279" s="2">
        <f>1.0082096</f>
        <v>1.0082096</v>
      </c>
      <c r="E279" s="2"/>
      <c r="F279" s="2">
        <f>0.72195923</f>
        <v>0.72195922999999995</v>
      </c>
      <c r="G279" s="2"/>
      <c r="H279" s="2">
        <f>2.330017</f>
        <v>2.3300169999999998</v>
      </c>
      <c r="I279" s="2"/>
      <c r="J279" s="2">
        <f>2.651099</f>
        <v>2.6510989999999999</v>
      </c>
      <c r="K279" s="2"/>
      <c r="L279" s="2">
        <f>2.8011599</f>
        <v>2.8011599</v>
      </c>
    </row>
    <row r="280" spans="1:12" ht="17">
      <c r="A280" s="1" t="str">
        <f t="shared" si="12"/>
        <v>2020/05/16</v>
      </c>
      <c r="B280" s="1" t="str">
        <f>"12:00"</f>
        <v>12:00</v>
      </c>
      <c r="C280" s="2"/>
      <c r="D280" s="2">
        <f>0.96160066</f>
        <v>0.96160066</v>
      </c>
      <c r="E280" s="2"/>
      <c r="F280" s="2">
        <f>0.62185067</f>
        <v>0.62185067000000005</v>
      </c>
      <c r="G280" s="2"/>
      <c r="H280" s="2">
        <f>2.2191029</f>
        <v>2.2191029000000002</v>
      </c>
      <c r="I280" s="2"/>
      <c r="J280" s="2">
        <f>2.4379563</f>
        <v>2.4379563000000002</v>
      </c>
      <c r="K280" s="2"/>
      <c r="L280" s="2">
        <f>2.5502472</f>
        <v>2.5502471999999998</v>
      </c>
    </row>
    <row r="281" spans="1:12" ht="17">
      <c r="A281" s="1" t="str">
        <f t="shared" si="12"/>
        <v>2020/05/16</v>
      </c>
      <c r="B281" s="1" t="str">
        <f>"13:00"</f>
        <v>13:00</v>
      </c>
      <c r="C281" s="2"/>
      <c r="D281" s="2">
        <f>0.71263427</f>
        <v>0.71263427000000001</v>
      </c>
      <c r="E281" s="2"/>
      <c r="F281" s="2">
        <f>0.5171833</f>
        <v>0.51718330000000001</v>
      </c>
      <c r="G281" s="2"/>
      <c r="H281" s="2">
        <f>1.7135334</f>
        <v>1.7135334</v>
      </c>
      <c r="I281" s="2"/>
      <c r="J281" s="2">
        <f>2.214984</f>
        <v>2.2149839999999998</v>
      </c>
      <c r="K281" s="2"/>
      <c r="L281" s="2">
        <f>2.2150316</f>
        <v>2.2150316000000001</v>
      </c>
    </row>
    <row r="282" spans="1:12" ht="17">
      <c r="A282" s="1" t="str">
        <f t="shared" si="12"/>
        <v>2020/05/16</v>
      </c>
      <c r="B282" s="1" t="str">
        <f>"14:00"</f>
        <v>14:00</v>
      </c>
      <c r="C282" s="2"/>
      <c r="D282" s="2">
        <f>0.53494936</f>
        <v>0.53494936000000004</v>
      </c>
      <c r="E282" s="2"/>
      <c r="F282" s="2">
        <f>0.64419305</f>
        <v>0.64419305000000004</v>
      </c>
      <c r="G282" s="2"/>
      <c r="H282" s="2">
        <f>1.4167728</f>
        <v>1.4167727999999999</v>
      </c>
      <c r="I282" s="2"/>
      <c r="J282" s="2">
        <f>2.2532105</f>
        <v>2.2532104999999998</v>
      </c>
      <c r="K282" s="2"/>
      <c r="L282" s="2">
        <f>3.3648932</f>
        <v>3.3648932</v>
      </c>
    </row>
    <row r="283" spans="1:12" ht="17">
      <c r="A283" s="1" t="str">
        <f t="shared" si="12"/>
        <v>2020/05/16</v>
      </c>
      <c r="B283" s="1" t="str">
        <f>"15:00"</f>
        <v>15:00</v>
      </c>
      <c r="C283" s="2"/>
      <c r="D283" s="2">
        <f>0.47205567</f>
        <v>0.47205566999999998</v>
      </c>
      <c r="E283" s="2"/>
      <c r="F283" s="2">
        <f>0.38694978</f>
        <v>0.38694978000000002</v>
      </c>
      <c r="G283" s="2"/>
      <c r="H283" s="2">
        <f>1.0470387</f>
        <v>1.0470387000000001</v>
      </c>
      <c r="I283" s="2"/>
      <c r="J283" s="2">
        <f>1.5018275</f>
        <v>1.5018275000000001</v>
      </c>
      <c r="K283" s="2"/>
      <c r="L283" s="2">
        <f>3.2782786</f>
        <v>3.2782786000000002</v>
      </c>
    </row>
    <row r="284" spans="1:12" ht="17">
      <c r="A284" s="1" t="str">
        <f t="shared" si="12"/>
        <v>2020/05/16</v>
      </c>
      <c r="B284" s="1" t="str">
        <f>"16:00"</f>
        <v>16:00</v>
      </c>
      <c r="C284" s="2"/>
      <c r="D284" s="2">
        <f>0.33732033</f>
        <v>0.33732033</v>
      </c>
      <c r="E284" s="2"/>
      <c r="F284" s="2">
        <f>0.3338817</f>
        <v>0.3338817</v>
      </c>
      <c r="G284" s="2"/>
      <c r="H284" s="2">
        <f>0.47519636</f>
        <v>0.47519635999999998</v>
      </c>
      <c r="I284" s="2"/>
      <c r="J284" s="2">
        <f>1.0450037</f>
        <v>1.0450037000000001</v>
      </c>
      <c r="K284" s="2"/>
      <c r="L284" s="2">
        <f>1.0843022</f>
        <v>1.0843022</v>
      </c>
    </row>
    <row r="285" spans="1:12" ht="17">
      <c r="A285" s="1" t="str">
        <f t="shared" si="12"/>
        <v>2020/05/16</v>
      </c>
      <c r="B285" s="1" t="str">
        <f>"17:00"</f>
        <v>17:00</v>
      </c>
      <c r="C285" s="2"/>
      <c r="D285" s="2">
        <f>0.330348</f>
        <v>0.33034799999999997</v>
      </c>
      <c r="E285" s="2"/>
      <c r="F285" s="2">
        <f>0.42323115</f>
        <v>0.42323115</v>
      </c>
      <c r="G285" s="2"/>
      <c r="H285" s="2">
        <f>0.4765764</f>
        <v>0.47657640000000001</v>
      </c>
      <c r="I285" s="2"/>
      <c r="J285" s="2">
        <f>1.2964352</f>
        <v>1.2964351999999999</v>
      </c>
      <c r="K285" s="2"/>
      <c r="L285" s="2">
        <f>1.5538632</f>
        <v>1.5538632000000001</v>
      </c>
    </row>
    <row r="286" spans="1:12" ht="17">
      <c r="A286" s="1" t="str">
        <f t="shared" si="12"/>
        <v>2020/05/16</v>
      </c>
      <c r="B286" s="1" t="str">
        <f>"18:00"</f>
        <v>18:00</v>
      </c>
      <c r="C286" s="2"/>
      <c r="D286" s="2">
        <f>0.44942468</f>
        <v>0.44942468000000002</v>
      </c>
      <c r="E286" s="2"/>
      <c r="F286" s="2">
        <f>0.34202108</f>
        <v>0.34202107999999998</v>
      </c>
      <c r="G286" s="2"/>
      <c r="H286" s="2">
        <f>0.53432184</f>
        <v>0.53432184000000005</v>
      </c>
      <c r="I286" s="2"/>
      <c r="J286" s="2">
        <f>1.3702271</f>
        <v>1.3702270999999999</v>
      </c>
      <c r="K286" s="2"/>
      <c r="L286" s="2">
        <f>1.4713348</f>
        <v>1.4713347999999999</v>
      </c>
    </row>
    <row r="287" spans="1:12" ht="17">
      <c r="A287" s="1" t="str">
        <f t="shared" si="12"/>
        <v>2020/05/16</v>
      </c>
      <c r="B287" s="1" t="str">
        <f>"19:00"</f>
        <v>19:00</v>
      </c>
      <c r="C287" s="2"/>
      <c r="D287" s="2">
        <f>0.5808458</f>
        <v>0.58084579999999997</v>
      </c>
      <c r="E287" s="2"/>
      <c r="F287" s="2">
        <f>0.38177136</f>
        <v>0.38177136</v>
      </c>
      <c r="G287" s="2"/>
      <c r="H287" s="2">
        <f>0.99863106</f>
        <v>0.99863106000000001</v>
      </c>
      <c r="I287" s="2"/>
      <c r="J287" s="2">
        <f>1.617017</f>
        <v>1.6170169999999999</v>
      </c>
      <c r="K287" s="2"/>
      <c r="L287" s="2">
        <f>1.9231921</f>
        <v>1.9231921000000001</v>
      </c>
    </row>
    <row r="288" spans="1:12" ht="17">
      <c r="A288" s="1" t="str">
        <f t="shared" si="12"/>
        <v>2020/05/16</v>
      </c>
      <c r="B288" s="1" t="str">
        <f>"20:00"</f>
        <v>20:00</v>
      </c>
      <c r="C288" s="2"/>
      <c r="D288" s="2">
        <f>0.609198</f>
        <v>0.60919800000000002</v>
      </c>
      <c r="E288" s="2"/>
      <c r="F288" s="2">
        <f>0.5830224</f>
        <v>0.58302240000000005</v>
      </c>
      <c r="G288" s="2"/>
      <c r="H288" s="2">
        <f>1.658817</f>
        <v>1.658817</v>
      </c>
      <c r="I288" s="2"/>
      <c r="J288" s="2">
        <f>1.8967204</f>
        <v>1.8967204</v>
      </c>
      <c r="K288" s="2"/>
      <c r="L288" s="2">
        <f>2.829124</f>
        <v>2.8291240000000002</v>
      </c>
    </row>
    <row r="289" spans="1:12" ht="17">
      <c r="A289" s="1" t="str">
        <f t="shared" si="12"/>
        <v>2020/05/16</v>
      </c>
      <c r="B289" s="1" t="str">
        <f>"21:00"</f>
        <v>21:00</v>
      </c>
      <c r="C289" s="2"/>
      <c r="D289" s="2">
        <f>0.77416134</f>
        <v>0.77416134000000003</v>
      </c>
      <c r="E289" s="2"/>
      <c r="F289" s="2">
        <f>0.5735025</f>
        <v>0.57350250000000003</v>
      </c>
      <c r="G289" s="2"/>
      <c r="H289" s="2">
        <f>2.1349738</f>
        <v>2.1349738</v>
      </c>
      <c r="I289" s="2"/>
      <c r="J289" s="2">
        <f>2.4199805</f>
        <v>2.4199804999999999</v>
      </c>
      <c r="K289" s="2"/>
      <c r="L289" s="2">
        <f>4.159143</f>
        <v>4.1591430000000003</v>
      </c>
    </row>
    <row r="290" spans="1:12" ht="17">
      <c r="A290" s="1" t="str">
        <f t="shared" si="12"/>
        <v>2020/05/16</v>
      </c>
      <c r="B290" s="1" t="str">
        <f>"22:00"</f>
        <v>22:00</v>
      </c>
      <c r="C290" s="2"/>
      <c r="D290" s="2">
        <f>0.99402505</f>
        <v>0.99402504999999997</v>
      </c>
      <c r="E290" s="2"/>
      <c r="F290" s="2">
        <f>0.4378879</f>
        <v>0.4378879</v>
      </c>
      <c r="G290" s="2"/>
      <c r="H290" s="2">
        <f>1.7364726</f>
        <v>1.7364725999999999</v>
      </c>
      <c r="I290" s="2"/>
      <c r="J290" s="2">
        <f>1.783973</f>
        <v>1.783973</v>
      </c>
      <c r="K290" s="2"/>
      <c r="L290" s="2">
        <f>2.6446688</f>
        <v>2.6446687999999998</v>
      </c>
    </row>
    <row r="291" spans="1:12" ht="17">
      <c r="A291" s="1" t="str">
        <f t="shared" si="12"/>
        <v>2020/05/16</v>
      </c>
      <c r="B291" s="1" t="str">
        <f>"23:00"</f>
        <v>23:00</v>
      </c>
      <c r="C291" s="2"/>
      <c r="D291" s="2">
        <f>0.40006042</f>
        <v>0.40006042000000003</v>
      </c>
      <c r="E291" s="2"/>
      <c r="F291" s="2">
        <f>0.6322942</f>
        <v>0.63229420000000003</v>
      </c>
      <c r="G291" s="2"/>
      <c r="H291" s="2">
        <f>1.9355913</f>
        <v>1.9355913</v>
      </c>
      <c r="I291" s="2"/>
      <c r="J291" s="2">
        <f>2.3367455</f>
        <v>2.3367455000000001</v>
      </c>
      <c r="K291" s="2"/>
      <c r="L291" s="2">
        <f>2.4697013</f>
        <v>2.4697013000000001</v>
      </c>
    </row>
    <row r="292" spans="1:12" ht="17">
      <c r="A292" s="1" t="str">
        <f t="shared" si="12"/>
        <v>2020/05/16</v>
      </c>
      <c r="B292" s="1" t="str">
        <f>"24:00"</f>
        <v>24:00</v>
      </c>
      <c r="C292" s="2"/>
      <c r="D292" s="2">
        <f>0.8441137</f>
        <v>0.84411369999999997</v>
      </c>
      <c r="E292" s="2"/>
      <c r="F292" s="2">
        <f>0.7509784</f>
        <v>0.75097840000000005</v>
      </c>
      <c r="G292" s="2"/>
      <c r="H292" s="2">
        <f>2.6174154</f>
        <v>2.6174154000000001</v>
      </c>
      <c r="I292" s="2"/>
      <c r="J292" s="2">
        <f>3.0170693</f>
        <v>3.0170693000000002</v>
      </c>
      <c r="K292" s="2"/>
      <c r="L292" s="2">
        <f>3.5397422</f>
        <v>3.5397422000000001</v>
      </c>
    </row>
    <row r="293" spans="1:12" ht="17">
      <c r="A293" s="1" t="str">
        <f t="shared" ref="A293:A316" si="13">"2020/05/17"</f>
        <v>2020/05/17</v>
      </c>
      <c r="B293" s="1" t="str">
        <f>"01:00"</f>
        <v>01:00</v>
      </c>
      <c r="C293" s="2">
        <f>0.9550196</f>
        <v>0.95501959999999997</v>
      </c>
      <c r="D293" s="2">
        <f>0.7722366</f>
        <v>0.77223660000000005</v>
      </c>
      <c r="E293" s="2">
        <f>0.6132277</f>
        <v>0.61322770000000004</v>
      </c>
      <c r="F293" s="2">
        <f>0.6899261</f>
        <v>0.68992609999999999</v>
      </c>
      <c r="G293" s="2">
        <f>1.8241767</f>
        <v>1.8241767</v>
      </c>
      <c r="H293" s="2">
        <f>2.7540236</f>
        <v>2.7540236</v>
      </c>
      <c r="I293" s="2">
        <f>2.1094837</f>
        <v>2.1094837000000002</v>
      </c>
      <c r="J293" s="2">
        <f>2.8627477</f>
        <v>2.8627476999999999</v>
      </c>
      <c r="K293" s="2">
        <f>2.440276</f>
        <v>2.4402759999999999</v>
      </c>
      <c r="L293" s="2">
        <f>2.7240813</f>
        <v>2.7240812999999999</v>
      </c>
    </row>
    <row r="294" spans="1:12" ht="17">
      <c r="A294" s="1" t="str">
        <f t="shared" si="13"/>
        <v>2020/05/17</v>
      </c>
      <c r="B294" s="1" t="str">
        <f>"02:00"</f>
        <v>02:00</v>
      </c>
      <c r="C294" s="2"/>
      <c r="D294" s="2">
        <f>0.689091</f>
        <v>0.68909100000000001</v>
      </c>
      <c r="E294" s="2"/>
      <c r="F294" s="2">
        <f>0.54079413</f>
        <v>0.54079412999999998</v>
      </c>
      <c r="G294" s="2"/>
      <c r="H294" s="2">
        <f>2.186953</f>
        <v>2.1869529999999999</v>
      </c>
      <c r="I294" s="2"/>
      <c r="J294" s="2">
        <f>2.0728104</f>
        <v>2.0728103999999998</v>
      </c>
      <c r="K294" s="2"/>
      <c r="L294" s="2">
        <f>3.0888045</f>
        <v>3.0888045000000002</v>
      </c>
    </row>
    <row r="295" spans="1:12" ht="17">
      <c r="A295" s="1" t="str">
        <f t="shared" si="13"/>
        <v>2020/05/17</v>
      </c>
      <c r="B295" s="1" t="str">
        <f>"03:00"</f>
        <v>03:00</v>
      </c>
      <c r="C295" s="2"/>
      <c r="D295" s="2">
        <f>0.60986954</f>
        <v>0.60986954000000004</v>
      </c>
      <c r="E295" s="2"/>
      <c r="F295" s="2">
        <f>0.5031517</f>
        <v>0.50315169999999998</v>
      </c>
      <c r="G295" s="2"/>
      <c r="H295" s="2">
        <f>1.2415621</f>
        <v>1.2415620999999999</v>
      </c>
      <c r="I295" s="2"/>
      <c r="J295" s="2">
        <f>1.7110888</f>
        <v>1.7110888</v>
      </c>
      <c r="K295" s="2"/>
      <c r="L295" s="2">
        <f>1.9547344</f>
        <v>1.9547344</v>
      </c>
    </row>
    <row r="296" spans="1:12" ht="17">
      <c r="A296" s="1" t="str">
        <f t="shared" si="13"/>
        <v>2020/05/17</v>
      </c>
      <c r="B296" s="1" t="str">
        <f>"04:00"</f>
        <v>04:00</v>
      </c>
      <c r="C296" s="2"/>
      <c r="D296" s="2">
        <f>0.52930325</f>
        <v>0.52930325</v>
      </c>
      <c r="E296" s="2"/>
      <c r="F296" s="2">
        <f>0.48206776</f>
        <v>0.48206776000000001</v>
      </c>
      <c r="G296" s="2"/>
      <c r="H296" s="2">
        <f>1.0846004</f>
        <v>1.0846004</v>
      </c>
      <c r="I296" s="2"/>
      <c r="J296" s="2">
        <f>2.0547998</f>
        <v>2.0547998000000001</v>
      </c>
      <c r="K296" s="2"/>
      <c r="L296" s="2">
        <f>2.2660794</f>
        <v>2.2660794000000002</v>
      </c>
    </row>
    <row r="297" spans="1:12" ht="17">
      <c r="A297" s="1" t="str">
        <f t="shared" si="13"/>
        <v>2020/05/17</v>
      </c>
      <c r="B297" s="1" t="str">
        <f>"05:00"</f>
        <v>05:00</v>
      </c>
      <c r="C297" s="2"/>
      <c r="D297" s="2">
        <f>0.33046016</f>
        <v>0.33046016</v>
      </c>
      <c r="E297" s="2"/>
      <c r="F297" s="2">
        <f>0.5393587</f>
        <v>0.53935869999999997</v>
      </c>
      <c r="G297" s="2"/>
      <c r="H297" s="2">
        <f>0.9980244</f>
        <v>0.99802440000000003</v>
      </c>
      <c r="I297" s="2"/>
      <c r="J297" s="2">
        <f>1.3793516</f>
        <v>1.3793515999999999</v>
      </c>
      <c r="K297" s="2"/>
      <c r="L297" s="2">
        <f>1.7138515</f>
        <v>1.7138515000000001</v>
      </c>
    </row>
    <row r="298" spans="1:12" ht="17">
      <c r="A298" s="1" t="str">
        <f t="shared" si="13"/>
        <v>2020/05/17</v>
      </c>
      <c r="B298" s="1" t="str">
        <f>"06:00"</f>
        <v>06:00</v>
      </c>
      <c r="C298" s="2"/>
      <c r="D298" s="2">
        <f>0.50094897</f>
        <v>0.50094897000000005</v>
      </c>
      <c r="E298" s="2"/>
      <c r="F298" s="2">
        <f>0.40871683</f>
        <v>0.40871682999999998</v>
      </c>
      <c r="G298" s="2"/>
      <c r="H298" s="2">
        <f>1.1288892</f>
        <v>1.1288891999999999</v>
      </c>
      <c r="I298" s="2"/>
      <c r="J298" s="2">
        <f>1.5167807</f>
        <v>1.5167807</v>
      </c>
      <c r="K298" s="2"/>
      <c r="L298" s="2">
        <f>1.9781153</f>
        <v>1.9781153</v>
      </c>
    </row>
    <row r="299" spans="1:12" ht="17">
      <c r="A299" s="1" t="str">
        <f t="shared" si="13"/>
        <v>2020/05/17</v>
      </c>
      <c r="B299" s="1" t="str">
        <f>"07:00"</f>
        <v>07:00</v>
      </c>
      <c r="C299" s="2"/>
      <c r="D299" s="2">
        <f>0.42119616</f>
        <v>0.42119615999999999</v>
      </c>
      <c r="E299" s="2"/>
      <c r="F299" s="2">
        <f>0.48097655</f>
        <v>0.48097655</v>
      </c>
      <c r="G299" s="2"/>
      <c r="H299" s="2">
        <f>1.0741467</f>
        <v>1.0741467</v>
      </c>
      <c r="I299" s="2"/>
      <c r="J299" s="2">
        <f>1.3371501</f>
        <v>1.3371500999999999</v>
      </c>
      <c r="K299" s="2"/>
      <c r="L299" s="2">
        <f>1.622132</f>
        <v>1.6221319999999999</v>
      </c>
    </row>
    <row r="300" spans="1:12" ht="17">
      <c r="A300" s="1" t="str">
        <f t="shared" si="13"/>
        <v>2020/05/17</v>
      </c>
      <c r="B300" s="1" t="str">
        <f>"08:00"</f>
        <v>08:00</v>
      </c>
      <c r="C300" s="2"/>
      <c r="D300" s="2">
        <f>0.5044945</f>
        <v>0.50449449999999996</v>
      </c>
      <c r="E300" s="2"/>
      <c r="F300" s="2">
        <f>0.51918</f>
        <v>0.51917999999999997</v>
      </c>
      <c r="G300" s="2"/>
      <c r="H300" s="2">
        <f>1.6207012</f>
        <v>1.6207012000000001</v>
      </c>
      <c r="I300" s="2"/>
      <c r="J300" s="2">
        <f>1.7671971</f>
        <v>1.7671971</v>
      </c>
      <c r="K300" s="2"/>
      <c r="L300" s="2">
        <f>2.2375667</f>
        <v>2.2375666999999999</v>
      </c>
    </row>
    <row r="301" spans="1:12" ht="17">
      <c r="A301" s="1" t="str">
        <f t="shared" si="13"/>
        <v>2020/05/17</v>
      </c>
      <c r="B301" s="1" t="str">
        <f>"09:00"</f>
        <v>09:00</v>
      </c>
      <c r="C301" s="2"/>
      <c r="D301" s="2">
        <f>1.5974044</f>
        <v>1.5974044000000001</v>
      </c>
      <c r="E301" s="2"/>
      <c r="F301" s="2">
        <f>0.7625728</f>
        <v>0.76257280000000005</v>
      </c>
      <c r="G301" s="2"/>
      <c r="H301" s="2">
        <f>2.8244512</f>
        <v>2.8244511999999999</v>
      </c>
      <c r="I301" s="2"/>
      <c r="J301" s="2">
        <f>2.6145308</f>
        <v>2.6145307999999998</v>
      </c>
      <c r="K301" s="2"/>
      <c r="L301" s="2">
        <f>3.9750192</f>
        <v>3.9750192000000002</v>
      </c>
    </row>
    <row r="302" spans="1:12" ht="17">
      <c r="A302" s="1" t="str">
        <f t="shared" si="13"/>
        <v>2020/05/17</v>
      </c>
      <c r="B302" s="1" t="str">
        <f>"10:00"</f>
        <v>10:00</v>
      </c>
      <c r="C302" s="2"/>
      <c r="D302" s="2">
        <f>1.5805053</f>
        <v>1.5805053</v>
      </c>
      <c r="E302" s="2"/>
      <c r="F302" s="2">
        <f>0.9027962</f>
        <v>0.90279620000000005</v>
      </c>
      <c r="G302" s="2"/>
      <c r="H302" s="2">
        <f>3.0298517</f>
        <v>3.0298517</v>
      </c>
      <c r="I302" s="2"/>
      <c r="J302" s="2">
        <f>3.0273669</f>
        <v>3.0273669000000001</v>
      </c>
      <c r="K302" s="2"/>
      <c r="L302" s="2">
        <f>3.2955806</f>
        <v>3.2955806000000001</v>
      </c>
    </row>
    <row r="303" spans="1:12" ht="17">
      <c r="A303" s="1" t="str">
        <f t="shared" si="13"/>
        <v>2020/05/17</v>
      </c>
      <c r="B303" s="1" t="str">
        <f>"11:00"</f>
        <v>11:00</v>
      </c>
      <c r="C303" s="2"/>
      <c r="D303" s="2">
        <f>1.4049655</f>
        <v>1.4049655000000001</v>
      </c>
      <c r="E303" s="2"/>
      <c r="F303" s="2">
        <f>1.2220353</f>
        <v>1.2220352999999999</v>
      </c>
      <c r="G303" s="2"/>
      <c r="H303" s="2">
        <f>3.2489135</f>
        <v>3.2489135</v>
      </c>
      <c r="I303" s="2"/>
      <c r="J303" s="2">
        <f>4.5672097</f>
        <v>4.5672097000000003</v>
      </c>
      <c r="K303" s="2"/>
      <c r="L303" s="2">
        <f>4.7636127</f>
        <v>4.7636127000000004</v>
      </c>
    </row>
    <row r="304" spans="1:12" ht="17">
      <c r="A304" s="1" t="str">
        <f t="shared" si="13"/>
        <v>2020/05/17</v>
      </c>
      <c r="B304" s="1" t="str">
        <f>"12:00"</f>
        <v>12:00</v>
      </c>
      <c r="C304" s="2"/>
      <c r="D304" s="2">
        <f>3.5705209</f>
        <v>3.5705209</v>
      </c>
      <c r="E304" s="2"/>
      <c r="F304" s="2">
        <f>1.2532014</f>
        <v>1.2532014</v>
      </c>
      <c r="G304" s="2"/>
      <c r="H304" s="2">
        <f>4.5387325</f>
        <v>4.5387325000000001</v>
      </c>
      <c r="I304" s="2"/>
      <c r="J304" s="2">
        <f>4.4697385</f>
        <v>4.4697385000000001</v>
      </c>
      <c r="K304" s="2"/>
      <c r="L304" s="2">
        <f>4.7008915</f>
        <v>4.7008915</v>
      </c>
    </row>
    <row r="305" spans="1:12" ht="17">
      <c r="A305" s="1" t="str">
        <f t="shared" si="13"/>
        <v>2020/05/17</v>
      </c>
      <c r="B305" s="1" t="str">
        <f>"13:00"</f>
        <v>13:00</v>
      </c>
      <c r="C305" s="2"/>
      <c r="D305" s="2">
        <f>2.0635087</f>
        <v>2.0635086999999999</v>
      </c>
      <c r="E305" s="2"/>
      <c r="F305" s="2">
        <f>0.8929127</f>
        <v>0.8929127</v>
      </c>
      <c r="G305" s="2"/>
      <c r="H305" s="2">
        <f>3.2068033</f>
        <v>3.2068032999999998</v>
      </c>
      <c r="I305" s="2"/>
      <c r="J305" s="2">
        <f>3.2359126</f>
        <v>3.2359125999999998</v>
      </c>
      <c r="K305" s="2"/>
      <c r="L305" s="2">
        <f>3.3546584</f>
        <v>3.3546583999999999</v>
      </c>
    </row>
    <row r="306" spans="1:12" ht="17">
      <c r="A306" s="1" t="str">
        <f t="shared" si="13"/>
        <v>2020/05/17</v>
      </c>
      <c r="B306" s="1" t="str">
        <f>"14:00"</f>
        <v>14:00</v>
      </c>
      <c r="C306" s="2"/>
      <c r="D306" s="2">
        <f>1.5865275</f>
        <v>1.5865275000000001</v>
      </c>
      <c r="E306" s="2"/>
      <c r="F306" s="2">
        <f>0.86902833</f>
        <v>0.86902833000000002</v>
      </c>
      <c r="G306" s="2"/>
      <c r="H306" s="2">
        <f>2.9326463</f>
        <v>2.9326463</v>
      </c>
      <c r="I306" s="2"/>
      <c r="J306" s="2">
        <f>2.9037955</f>
        <v>2.9037955000000002</v>
      </c>
      <c r="K306" s="2"/>
      <c r="L306" s="2">
        <f>3.3520367</f>
        <v>3.3520367000000002</v>
      </c>
    </row>
    <row r="307" spans="1:12" ht="17">
      <c r="A307" s="1" t="str">
        <f t="shared" si="13"/>
        <v>2020/05/17</v>
      </c>
      <c r="B307" s="1" t="str">
        <f>"15:00"</f>
        <v>15:00</v>
      </c>
      <c r="C307" s="2"/>
      <c r="D307" s="2">
        <f>1.1314234</f>
        <v>1.1314234000000001</v>
      </c>
      <c r="E307" s="2"/>
      <c r="F307" s="2">
        <f>0.5210134</f>
        <v>0.52101339999999996</v>
      </c>
      <c r="G307" s="2"/>
      <c r="H307" s="2">
        <f>1.4474775</f>
        <v>1.4474775</v>
      </c>
      <c r="I307" s="2"/>
      <c r="J307" s="2">
        <f>1.5365174</f>
        <v>1.5365173999999999</v>
      </c>
      <c r="K307" s="2"/>
      <c r="L307" s="2">
        <f>1.7086025</f>
        <v>1.7086025</v>
      </c>
    </row>
    <row r="308" spans="1:12" ht="17">
      <c r="A308" s="1" t="str">
        <f t="shared" si="13"/>
        <v>2020/05/17</v>
      </c>
      <c r="B308" s="1" t="str">
        <f>"16:00"</f>
        <v>16:00</v>
      </c>
      <c r="C308" s="2"/>
      <c r="D308" s="2">
        <f>0.7258885</f>
        <v>0.72588850000000005</v>
      </c>
      <c r="E308" s="2"/>
      <c r="F308" s="2">
        <f>0.5106779</f>
        <v>0.51067790000000002</v>
      </c>
      <c r="G308" s="2"/>
      <c r="H308" s="2">
        <f>0.82091784</f>
        <v>0.82091784000000001</v>
      </c>
      <c r="I308" s="2"/>
      <c r="J308" s="2">
        <f>1.2153504</f>
        <v>1.2153503999999999</v>
      </c>
      <c r="K308" s="2"/>
      <c r="L308" s="2">
        <f>1.1955146</f>
        <v>1.1955146000000001</v>
      </c>
    </row>
    <row r="309" spans="1:12" ht="17">
      <c r="A309" s="1" t="str">
        <f t="shared" si="13"/>
        <v>2020/05/17</v>
      </c>
      <c r="B309" s="1" t="str">
        <f>"17:00"</f>
        <v>17:00</v>
      </c>
      <c r="C309" s="2"/>
      <c r="D309" s="2">
        <f>0.70105857</f>
        <v>0.70105857000000005</v>
      </c>
      <c r="E309" s="2"/>
      <c r="F309" s="2">
        <f>0.37730843</f>
        <v>0.37730842999999997</v>
      </c>
      <c r="G309" s="2"/>
      <c r="H309" s="2">
        <f>0.9333532</f>
        <v>0.93335319999999999</v>
      </c>
      <c r="I309" s="2"/>
      <c r="J309" s="2">
        <f>1.294048</f>
        <v>1.2940480000000001</v>
      </c>
      <c r="K309" s="2"/>
      <c r="L309" s="2">
        <f>1.4611895</f>
        <v>1.4611894999999999</v>
      </c>
    </row>
    <row r="310" spans="1:12" ht="17">
      <c r="A310" s="1" t="str">
        <f t="shared" si="13"/>
        <v>2020/05/17</v>
      </c>
      <c r="B310" s="1" t="str">
        <f>"18:00"</f>
        <v>18:00</v>
      </c>
      <c r="C310" s="2"/>
      <c r="D310" s="2">
        <f>0.5077592</f>
        <v>0.50775919999999997</v>
      </c>
      <c r="E310" s="2"/>
      <c r="F310" s="2">
        <f>0.46816614</f>
        <v>0.46816614000000001</v>
      </c>
      <c r="G310" s="2"/>
      <c r="H310" s="2">
        <f>0.6190824</f>
        <v>0.61908240000000003</v>
      </c>
      <c r="I310" s="2"/>
      <c r="J310" s="2">
        <f>1.0388436</f>
        <v>1.0388436000000001</v>
      </c>
      <c r="K310" s="2"/>
      <c r="L310" s="2">
        <f>1.6927644</f>
        <v>1.6927643999999999</v>
      </c>
    </row>
    <row r="311" spans="1:12" ht="17">
      <c r="A311" s="1" t="str">
        <f t="shared" si="13"/>
        <v>2020/05/17</v>
      </c>
      <c r="B311" s="1" t="str">
        <f>"19:00"</f>
        <v>19:00</v>
      </c>
      <c r="C311" s="2"/>
      <c r="D311" s="2">
        <f>0.5461945</f>
        <v>0.54619450000000003</v>
      </c>
      <c r="E311" s="2"/>
      <c r="F311" s="2">
        <f>0.487155</f>
        <v>0.487155</v>
      </c>
      <c r="G311" s="2"/>
      <c r="H311" s="2">
        <f>0.8408568</f>
        <v>0.84085679999999996</v>
      </c>
      <c r="I311" s="2"/>
      <c r="J311" s="2">
        <f>1.157726</f>
        <v>1.157726</v>
      </c>
      <c r="K311" s="2"/>
      <c r="L311" s="2">
        <f>1.7565142</f>
        <v>1.7565142</v>
      </c>
    </row>
    <row r="312" spans="1:12" ht="17">
      <c r="A312" s="1" t="str">
        <f t="shared" si="13"/>
        <v>2020/05/17</v>
      </c>
      <c r="B312" s="1" t="str">
        <f>"20:00"</f>
        <v>20:00</v>
      </c>
      <c r="C312" s="2"/>
      <c r="D312" s="2">
        <f>0.66121405</f>
        <v>0.66121405</v>
      </c>
      <c r="E312" s="2"/>
      <c r="F312" s="2">
        <f>0.44719988</f>
        <v>0.44719987999999999</v>
      </c>
      <c r="G312" s="2"/>
      <c r="H312" s="2">
        <f>1.4360591</f>
        <v>1.4360591</v>
      </c>
      <c r="I312" s="2"/>
      <c r="J312" s="2">
        <f>1.5589744</f>
        <v>1.5589744000000001</v>
      </c>
      <c r="K312" s="2"/>
      <c r="L312" s="2">
        <f>1.9883412</f>
        <v>1.9883412</v>
      </c>
    </row>
    <row r="313" spans="1:12" ht="17">
      <c r="A313" s="1" t="str">
        <f t="shared" si="13"/>
        <v>2020/05/17</v>
      </c>
      <c r="B313" s="1" t="str">
        <f>"21:00"</f>
        <v>21:00</v>
      </c>
      <c r="C313" s="2"/>
      <c r="D313" s="2">
        <f>0.62239105</f>
        <v>0.62239104999999995</v>
      </c>
      <c r="E313" s="2"/>
      <c r="F313" s="2">
        <f>0.4762095</f>
        <v>0.47620950000000001</v>
      </c>
      <c r="G313" s="2"/>
      <c r="H313" s="2">
        <f>1.395732</f>
        <v>1.395732</v>
      </c>
      <c r="I313" s="2"/>
      <c r="J313" s="2">
        <f>1.6599361</f>
        <v>1.6599360999999999</v>
      </c>
      <c r="K313" s="2"/>
      <c r="L313" s="2">
        <f>1.8865011</f>
        <v>1.8865011</v>
      </c>
    </row>
    <row r="314" spans="1:12" ht="17">
      <c r="A314" s="1" t="str">
        <f t="shared" si="13"/>
        <v>2020/05/17</v>
      </c>
      <c r="B314" s="1" t="str">
        <f>"22:00"</f>
        <v>22:00</v>
      </c>
      <c r="C314" s="2"/>
      <c r="D314" s="2">
        <f>0.77662957</f>
        <v>0.77662956999999999</v>
      </c>
      <c r="E314" s="2"/>
      <c r="F314" s="2">
        <f>0.4292126</f>
        <v>0.4292126</v>
      </c>
      <c r="G314" s="2"/>
      <c r="H314" s="2">
        <f>1.5655551</f>
        <v>1.5655551000000001</v>
      </c>
      <c r="I314" s="2"/>
      <c r="J314" s="2">
        <f>1.9100769</f>
        <v>1.9100769</v>
      </c>
      <c r="K314" s="2"/>
      <c r="L314" s="2">
        <f>2.0832298</f>
        <v>2.0832297999999998</v>
      </c>
    </row>
    <row r="315" spans="1:12" ht="17">
      <c r="A315" s="1" t="str">
        <f t="shared" si="13"/>
        <v>2020/05/17</v>
      </c>
      <c r="B315" s="1" t="str">
        <f>"23:00"</f>
        <v>23:00</v>
      </c>
      <c r="C315" s="2"/>
      <c r="D315" s="2">
        <f>0.53735536</f>
        <v>0.53735535999999995</v>
      </c>
      <c r="E315" s="2"/>
      <c r="F315" s="2">
        <f>0.4387049</f>
        <v>0.43870490000000001</v>
      </c>
      <c r="G315" s="2"/>
      <c r="H315" s="2">
        <f>1.3221036</f>
        <v>1.3221035999999999</v>
      </c>
      <c r="I315" s="2"/>
      <c r="J315" s="2">
        <f>1.7029574</f>
        <v>1.7029574000000001</v>
      </c>
      <c r="K315" s="2"/>
      <c r="L315" s="2">
        <f>1.6855556</f>
        <v>1.6855556</v>
      </c>
    </row>
    <row r="316" spans="1:12" ht="17">
      <c r="A316" s="1" t="str">
        <f t="shared" si="13"/>
        <v>2020/05/17</v>
      </c>
      <c r="B316" s="1" t="str">
        <f>"24:00"</f>
        <v>24:00</v>
      </c>
      <c r="C316" s="2"/>
      <c r="D316" s="2">
        <f>0.54952323</f>
        <v>0.54952323000000003</v>
      </c>
      <c r="E316" s="2"/>
      <c r="F316" s="2">
        <f>0.49509972</f>
        <v>0.49509972000000002</v>
      </c>
      <c r="G316" s="2"/>
      <c r="H316" s="2">
        <f>1.5288028</f>
        <v>1.5288028</v>
      </c>
      <c r="I316" s="2"/>
      <c r="J316" s="2">
        <f>2.0327003</f>
        <v>2.0327003000000001</v>
      </c>
      <c r="K316" s="2"/>
      <c r="L316" s="2">
        <f>2.0812433</f>
        <v>2.0812433000000001</v>
      </c>
    </row>
    <row r="317" spans="1:12" ht="17">
      <c r="A317" s="1" t="str">
        <f t="shared" ref="A317:A340" si="14">"2020/05/18"</f>
        <v>2020/05/18</v>
      </c>
      <c r="B317" s="1" t="str">
        <f>"01:00"</f>
        <v>01:00</v>
      </c>
      <c r="C317" s="2">
        <f>0.64567184</f>
        <v>0.64567184</v>
      </c>
      <c r="D317" s="2">
        <f>0.5618352</f>
        <v>0.56183519999999998</v>
      </c>
      <c r="E317" s="2">
        <f>0.9484145</f>
        <v>0.94841450000000005</v>
      </c>
      <c r="F317" s="2">
        <f>0.4982154</f>
        <v>0.49821539999999997</v>
      </c>
      <c r="G317" s="2">
        <f>2.2416344</f>
        <v>2.2416344000000001</v>
      </c>
      <c r="H317" s="2">
        <f>1.4473115</f>
        <v>1.4473115000000001</v>
      </c>
      <c r="I317" s="2">
        <f>2.9229498</f>
        <v>2.9229498</v>
      </c>
      <c r="J317" s="2">
        <f>1.8057989</f>
        <v>1.8057989000000001</v>
      </c>
      <c r="K317" s="2">
        <f>3.229947</f>
        <v>3.2299470000000001</v>
      </c>
      <c r="L317" s="2">
        <f>2.5031033</f>
        <v>2.5031032999999998</v>
      </c>
    </row>
    <row r="318" spans="1:12" ht="17">
      <c r="A318" s="1" t="str">
        <f t="shared" si="14"/>
        <v>2020/05/18</v>
      </c>
      <c r="B318" s="1" t="str">
        <f>"02:00"</f>
        <v>02:00</v>
      </c>
      <c r="C318" s="2"/>
      <c r="D318" s="2">
        <f>0.4598304</f>
        <v>0.45983039999999997</v>
      </c>
      <c r="E318" s="2"/>
      <c r="F318" s="2">
        <f>0.5170595</f>
        <v>0.51705950000000001</v>
      </c>
      <c r="G318" s="2"/>
      <c r="H318" s="2">
        <f>2.1311972</f>
        <v>2.1311971999999999</v>
      </c>
      <c r="I318" s="2"/>
      <c r="J318" s="2">
        <f>2.1393843</f>
        <v>2.1393843000000001</v>
      </c>
      <c r="K318" s="2"/>
      <c r="L318" s="2">
        <f>2.8289895</f>
        <v>2.8289895</v>
      </c>
    </row>
    <row r="319" spans="1:12" ht="17">
      <c r="A319" s="1" t="str">
        <f t="shared" si="14"/>
        <v>2020/05/18</v>
      </c>
      <c r="B319" s="1" t="str">
        <f>"03:00"</f>
        <v>03:00</v>
      </c>
      <c r="C319" s="2"/>
      <c r="D319" s="2">
        <f>0.9005268</f>
        <v>0.90052679999999996</v>
      </c>
      <c r="E319" s="2"/>
      <c r="F319" s="2">
        <f>0.63601875</f>
        <v>0.63601874999999997</v>
      </c>
      <c r="G319" s="2"/>
      <c r="H319" s="2">
        <f>2.1343498</f>
        <v>2.1343497999999999</v>
      </c>
      <c r="I319" s="2"/>
      <c r="J319" s="2">
        <f>2.1068728</f>
        <v>2.1068728000000001</v>
      </c>
      <c r="K319" s="2"/>
      <c r="L319" s="2">
        <f>2.8423395</f>
        <v>2.8423395</v>
      </c>
    </row>
    <row r="320" spans="1:12" ht="17">
      <c r="A320" s="1" t="str">
        <f t="shared" si="14"/>
        <v>2020/05/18</v>
      </c>
      <c r="B320" s="1" t="str">
        <f>"04:00"</f>
        <v>04:00</v>
      </c>
      <c r="C320" s="2"/>
      <c r="D320" s="2">
        <f>0.78568894</f>
        <v>0.78568894</v>
      </c>
      <c r="E320" s="2"/>
      <c r="F320" s="2">
        <f>0.6404142</f>
        <v>0.64041420000000004</v>
      </c>
      <c r="G320" s="2"/>
      <c r="H320" s="2">
        <f>2.3225224</f>
        <v>2.3225224</v>
      </c>
      <c r="I320" s="2"/>
      <c r="J320" s="2">
        <f>2.0886703</f>
        <v>2.0886703</v>
      </c>
      <c r="K320" s="2"/>
      <c r="L320" s="2">
        <f>2.3765185</f>
        <v>2.3765185</v>
      </c>
    </row>
    <row r="321" spans="1:12" ht="17">
      <c r="A321" s="1" t="str">
        <f t="shared" si="14"/>
        <v>2020/05/18</v>
      </c>
      <c r="B321" s="1" t="str">
        <f>"05:00"</f>
        <v>05:00</v>
      </c>
      <c r="C321" s="2"/>
      <c r="D321" s="2">
        <f>0.9151681</f>
        <v>0.91516810000000004</v>
      </c>
      <c r="E321" s="2"/>
      <c r="F321" s="2">
        <f>0.76663</f>
        <v>0.76663000000000003</v>
      </c>
      <c r="G321" s="2"/>
      <c r="H321" s="2">
        <f>3.3899832</f>
        <v>3.3899832000000001</v>
      </c>
      <c r="I321" s="2"/>
      <c r="J321" s="2">
        <f>3.011748</f>
        <v>3.0117479999999999</v>
      </c>
      <c r="K321" s="2"/>
      <c r="L321" s="2">
        <f>3.5881076</f>
        <v>3.5881075999999998</v>
      </c>
    </row>
    <row r="322" spans="1:12" ht="17">
      <c r="A322" s="1" t="str">
        <f t="shared" si="14"/>
        <v>2020/05/18</v>
      </c>
      <c r="B322" s="1" t="str">
        <f>"06:00"</f>
        <v>06:00</v>
      </c>
      <c r="C322" s="2"/>
      <c r="D322" s="2">
        <f>0.57901835</f>
        <v>0.57901835000000001</v>
      </c>
      <c r="E322" s="2"/>
      <c r="F322" s="2">
        <f>0.6253029</f>
        <v>0.62530289999999999</v>
      </c>
      <c r="G322" s="2"/>
      <c r="H322" s="2">
        <f>2.8302677</f>
        <v>2.8302676999999998</v>
      </c>
      <c r="I322" s="2"/>
      <c r="J322" s="2">
        <f>2.4589698</f>
        <v>2.4589698000000002</v>
      </c>
      <c r="K322" s="2"/>
      <c r="L322" s="2">
        <f>2.953105</f>
        <v>2.9531049999999999</v>
      </c>
    </row>
    <row r="323" spans="1:12" ht="17">
      <c r="A323" s="1" t="str">
        <f t="shared" si="14"/>
        <v>2020/05/18</v>
      </c>
      <c r="B323" s="1" t="str">
        <f>"07:00"</f>
        <v>07:00</v>
      </c>
      <c r="C323" s="2"/>
      <c r="D323" s="2">
        <f>0.58734816</f>
        <v>0.58734816000000001</v>
      </c>
      <c r="E323" s="2"/>
      <c r="F323" s="2">
        <f>0.5530822</f>
        <v>0.55308219999999997</v>
      </c>
      <c r="G323" s="2"/>
      <c r="H323" s="2">
        <f>2.4845262</f>
        <v>2.4845261999999999</v>
      </c>
      <c r="I323" s="2"/>
      <c r="J323" s="2">
        <f>2.2712643</f>
        <v>2.2712642999999999</v>
      </c>
      <c r="K323" s="2"/>
      <c r="L323" s="2">
        <f>2.1645422</f>
        <v>2.1645422000000001</v>
      </c>
    </row>
    <row r="324" spans="1:12" ht="17">
      <c r="A324" s="1" t="str">
        <f t="shared" si="14"/>
        <v>2020/05/18</v>
      </c>
      <c r="B324" s="1" t="str">
        <f>"08:00"</f>
        <v>08:00</v>
      </c>
      <c r="C324" s="2"/>
      <c r="D324" s="2">
        <f>0.7662437</f>
        <v>0.76624369999999997</v>
      </c>
      <c r="E324" s="2"/>
      <c r="F324" s="2">
        <f>0.73416567</f>
        <v>0.73416566999999999</v>
      </c>
      <c r="G324" s="2"/>
      <c r="H324" s="2">
        <f>2.8608935</f>
        <v>2.8608935</v>
      </c>
      <c r="I324" s="2"/>
      <c r="J324" s="2">
        <f>2.5345356</f>
        <v>2.5345355999999999</v>
      </c>
      <c r="K324" s="2"/>
      <c r="L324" s="2">
        <f>2.814104</f>
        <v>2.8141039999999999</v>
      </c>
    </row>
    <row r="325" spans="1:12" ht="17">
      <c r="A325" s="1" t="str">
        <f t="shared" si="14"/>
        <v>2020/05/18</v>
      </c>
      <c r="B325" s="1" t="str">
        <f>"09:00"</f>
        <v>09:00</v>
      </c>
      <c r="C325" s="2"/>
      <c r="D325" s="7" t="s">
        <v>21</v>
      </c>
      <c r="E325" s="2"/>
      <c r="F325" s="7" t="s">
        <v>21</v>
      </c>
      <c r="G325" s="2"/>
      <c r="H325" s="7" t="s">
        <v>21</v>
      </c>
      <c r="I325" s="2"/>
      <c r="J325" s="7" t="s">
        <v>21</v>
      </c>
      <c r="K325" s="2"/>
      <c r="L325" s="7" t="s">
        <v>21</v>
      </c>
    </row>
    <row r="326" spans="1:12" ht="17">
      <c r="A326" s="1" t="str">
        <f t="shared" si="14"/>
        <v>2020/05/18</v>
      </c>
      <c r="B326" s="1" t="str">
        <f>"10:00"</f>
        <v>10:00</v>
      </c>
      <c r="C326" s="2"/>
      <c r="D326" s="7" t="s">
        <v>21</v>
      </c>
      <c r="E326" s="2"/>
      <c r="F326" s="7" t="s">
        <v>21</v>
      </c>
      <c r="G326" s="2"/>
      <c r="H326" s="7" t="s">
        <v>21</v>
      </c>
      <c r="I326" s="2"/>
      <c r="J326" s="7" t="s">
        <v>21</v>
      </c>
      <c r="K326" s="2"/>
      <c r="L326" s="7" t="s">
        <v>21</v>
      </c>
    </row>
    <row r="327" spans="1:12" ht="17">
      <c r="A327" s="1" t="str">
        <f t="shared" si="14"/>
        <v>2020/05/18</v>
      </c>
      <c r="B327" s="1" t="str">
        <f>"11:00"</f>
        <v>11:00</v>
      </c>
      <c r="C327" s="2"/>
      <c r="D327" s="7" t="s">
        <v>21</v>
      </c>
      <c r="E327" s="2"/>
      <c r="F327" s="7" t="s">
        <v>21</v>
      </c>
      <c r="G327" s="2"/>
      <c r="H327" s="7" t="s">
        <v>21</v>
      </c>
      <c r="I327" s="2"/>
      <c r="J327" s="7" t="s">
        <v>21</v>
      </c>
      <c r="K327" s="2"/>
      <c r="L327" s="7" t="s">
        <v>21</v>
      </c>
    </row>
    <row r="328" spans="1:12" ht="17">
      <c r="A328" s="1" t="str">
        <f t="shared" si="14"/>
        <v>2020/05/18</v>
      </c>
      <c r="B328" s="1" t="str">
        <f>"12:00"</f>
        <v>12:00</v>
      </c>
      <c r="C328" s="2"/>
      <c r="D328" s="2">
        <f>0.8649133</f>
        <v>0.8649133</v>
      </c>
      <c r="E328" s="2"/>
      <c r="F328" s="2">
        <f>0.743852</f>
        <v>0.74385199999999996</v>
      </c>
      <c r="G328" s="2"/>
      <c r="H328" s="2">
        <f>2.488146</f>
        <v>2.488146</v>
      </c>
      <c r="I328" s="2"/>
      <c r="J328" s="2">
        <f>2.8626232</f>
        <v>2.8626231999999998</v>
      </c>
      <c r="K328" s="2"/>
      <c r="L328" s="2">
        <f>3.293505</f>
        <v>3.2935050000000001</v>
      </c>
    </row>
    <row r="329" spans="1:12" ht="17">
      <c r="A329" s="1" t="str">
        <f t="shared" si="14"/>
        <v>2020/05/18</v>
      </c>
      <c r="B329" s="1" t="str">
        <f>"13:00"</f>
        <v>13:00</v>
      </c>
      <c r="C329" s="2"/>
      <c r="D329" s="2">
        <f>0.65802807</f>
        <v>0.65802806999999996</v>
      </c>
      <c r="E329" s="2"/>
      <c r="F329" s="2">
        <f>0.910096</f>
        <v>0.91009600000000002</v>
      </c>
      <c r="G329" s="2"/>
      <c r="H329" s="2">
        <f>2.0226696</f>
        <v>2.0226696</v>
      </c>
      <c r="I329" s="2"/>
      <c r="J329" s="2">
        <f>3.3749535</f>
        <v>3.3749535000000002</v>
      </c>
      <c r="K329" s="2"/>
      <c r="L329" s="2">
        <f>3.0911884</f>
        <v>3.0911884000000001</v>
      </c>
    </row>
    <row r="330" spans="1:12" ht="17">
      <c r="A330" s="1" t="str">
        <f t="shared" si="14"/>
        <v>2020/05/18</v>
      </c>
      <c r="B330" s="1" t="str">
        <f>"14:00"</f>
        <v>14:00</v>
      </c>
      <c r="C330" s="2"/>
      <c r="D330" s="2">
        <f>0.50692093</f>
        <v>0.50692093000000005</v>
      </c>
      <c r="E330" s="2"/>
      <c r="F330" s="2">
        <f>0.55259144</f>
        <v>0.55259144000000004</v>
      </c>
      <c r="G330" s="2"/>
      <c r="H330" s="2">
        <f>1.3043814</f>
        <v>1.3043814</v>
      </c>
      <c r="I330" s="2"/>
      <c r="J330" s="2">
        <f>1.7827117</f>
        <v>1.7827116999999999</v>
      </c>
      <c r="K330" s="2"/>
      <c r="L330" s="2">
        <f>1.94938</f>
        <v>1.9493799999999999</v>
      </c>
    </row>
    <row r="331" spans="1:12" ht="17">
      <c r="A331" s="1" t="str">
        <f t="shared" si="14"/>
        <v>2020/05/18</v>
      </c>
      <c r="B331" s="1" t="str">
        <f>"15:00"</f>
        <v>15:00</v>
      </c>
      <c r="C331" s="2"/>
      <c r="D331" s="2">
        <f>0.48503858</f>
        <v>0.48503858</v>
      </c>
      <c r="E331" s="2"/>
      <c r="F331" s="2">
        <f>0.46445468</f>
        <v>0.46445468000000001</v>
      </c>
      <c r="G331" s="2"/>
      <c r="H331" s="2">
        <f>1.0805284</f>
        <v>1.0805283999999999</v>
      </c>
      <c r="I331" s="2"/>
      <c r="J331" s="2">
        <f>1.7530243</f>
        <v>1.7530243000000001</v>
      </c>
      <c r="K331" s="2"/>
      <c r="L331" s="2">
        <f>2.2995393</f>
        <v>2.2995393000000002</v>
      </c>
    </row>
    <row r="332" spans="1:12" ht="17">
      <c r="A332" s="1" t="str">
        <f t="shared" si="14"/>
        <v>2020/05/18</v>
      </c>
      <c r="B332" s="1" t="str">
        <f>"16:00"</f>
        <v>16:00</v>
      </c>
      <c r="C332" s="2"/>
      <c r="D332" s="2">
        <f>0.32990402</f>
        <v>0.32990402000000002</v>
      </c>
      <c r="E332" s="2"/>
      <c r="F332" s="2">
        <f>0.3352973</f>
        <v>0.33529730000000002</v>
      </c>
      <c r="G332" s="2"/>
      <c r="H332" s="2">
        <f>0.8254142</f>
        <v>0.82541419999999999</v>
      </c>
      <c r="I332" s="2"/>
      <c r="J332" s="2">
        <f>1.1256564</f>
        <v>1.1256564</v>
      </c>
      <c r="K332" s="2"/>
      <c r="L332" s="2">
        <f>1.13892</f>
        <v>1.1389199999999999</v>
      </c>
    </row>
    <row r="333" spans="1:12" ht="17">
      <c r="A333" s="1" t="str">
        <f t="shared" si="14"/>
        <v>2020/05/18</v>
      </c>
      <c r="B333" s="1" t="str">
        <f>"17:00"</f>
        <v>17:00</v>
      </c>
      <c r="C333" s="2"/>
      <c r="D333" s="2">
        <f>0.46734667</f>
        <v>0.46734667000000002</v>
      </c>
      <c r="E333" s="2"/>
      <c r="F333" s="2">
        <f>0.45267814</f>
        <v>0.45267814000000001</v>
      </c>
      <c r="G333" s="2"/>
      <c r="H333" s="2">
        <f>1.9052775</f>
        <v>1.9052775</v>
      </c>
      <c r="I333" s="2"/>
      <c r="J333" s="2">
        <f>1.8800148</f>
        <v>1.8800148000000001</v>
      </c>
      <c r="K333" s="2"/>
      <c r="L333" s="2">
        <f>2.0786026</f>
        <v>2.0786026</v>
      </c>
    </row>
    <row r="334" spans="1:12" ht="17">
      <c r="A334" s="1" t="str">
        <f t="shared" si="14"/>
        <v>2020/05/18</v>
      </c>
      <c r="B334" s="1" t="str">
        <f>"18:00"</f>
        <v>18:00</v>
      </c>
      <c r="C334" s="2"/>
      <c r="D334" s="2">
        <f>0.5638876</f>
        <v>0.56388760000000004</v>
      </c>
      <c r="E334" s="2"/>
      <c r="F334" s="2">
        <f>0.40999785</f>
        <v>0.40999785</v>
      </c>
      <c r="G334" s="2"/>
      <c r="H334" s="2">
        <f>1.2376047</f>
        <v>1.2376046999999999</v>
      </c>
      <c r="I334" s="2"/>
      <c r="J334" s="2">
        <f>1.7126658</f>
        <v>1.7126657999999999</v>
      </c>
      <c r="K334" s="2"/>
      <c r="L334" s="2">
        <f>2.0259266</f>
        <v>2.0259266</v>
      </c>
    </row>
    <row r="335" spans="1:12" ht="17">
      <c r="A335" s="1" t="str">
        <f t="shared" si="14"/>
        <v>2020/05/18</v>
      </c>
      <c r="B335" s="1" t="str">
        <f>"19:00"</f>
        <v>19:00</v>
      </c>
      <c r="C335" s="2"/>
      <c r="D335" s="2">
        <f>0.80124164</f>
        <v>0.80124163999999998</v>
      </c>
      <c r="E335" s="2"/>
      <c r="F335" s="2">
        <f>0.53896904</f>
        <v>0.53896904000000001</v>
      </c>
      <c r="G335" s="2"/>
      <c r="H335" s="2">
        <f>1.3721917</f>
        <v>1.3721916999999999</v>
      </c>
      <c r="I335" s="2"/>
      <c r="J335" s="2">
        <f>1.9864053</f>
        <v>1.9864052999999999</v>
      </c>
      <c r="K335" s="2"/>
      <c r="L335" s="2">
        <f>2.2000098</f>
        <v>2.2000098000000001</v>
      </c>
    </row>
    <row r="336" spans="1:12" ht="17">
      <c r="A336" s="1" t="str">
        <f t="shared" si="14"/>
        <v>2020/05/18</v>
      </c>
      <c r="B336" s="1" t="str">
        <f>"20:00"</f>
        <v>20:00</v>
      </c>
      <c r="C336" s="2"/>
      <c r="D336" s="2">
        <f>0.5663373</f>
        <v>0.56633730000000004</v>
      </c>
      <c r="E336" s="2"/>
      <c r="F336" s="2">
        <f>0.45455667</f>
        <v>0.45455667</v>
      </c>
      <c r="G336" s="2"/>
      <c r="H336" s="2">
        <f>1.5140522</f>
        <v>1.5140522000000001</v>
      </c>
      <c r="I336" s="2"/>
      <c r="J336" s="2">
        <f>2.0319135</f>
        <v>2.0319134999999999</v>
      </c>
      <c r="K336" s="2"/>
      <c r="L336" s="2">
        <f>2.5900683</f>
        <v>2.5900683</v>
      </c>
    </row>
    <row r="337" spans="1:12" ht="17">
      <c r="A337" s="1" t="str">
        <f t="shared" si="14"/>
        <v>2020/05/18</v>
      </c>
      <c r="B337" s="1" t="str">
        <f>"21:00"</f>
        <v>21:00</v>
      </c>
      <c r="C337" s="2"/>
      <c r="D337" s="2">
        <f>0.6841774</f>
        <v>0.68417740000000005</v>
      </c>
      <c r="E337" s="2"/>
      <c r="F337" s="2">
        <f>0.5112601</f>
        <v>0.5112601</v>
      </c>
      <c r="G337" s="2"/>
      <c r="H337" s="2">
        <f>1.3400686</f>
        <v>1.3400685999999999</v>
      </c>
      <c r="I337" s="2"/>
      <c r="J337" s="2">
        <f>1.9163574</f>
        <v>1.9163574000000001</v>
      </c>
      <c r="K337" s="2"/>
      <c r="L337" s="2">
        <f>2.1327617</f>
        <v>2.1327617000000001</v>
      </c>
    </row>
    <row r="338" spans="1:12" ht="17">
      <c r="A338" s="1" t="str">
        <f t="shared" si="14"/>
        <v>2020/05/18</v>
      </c>
      <c r="B338" s="1" t="str">
        <f>"22:00"</f>
        <v>22:00</v>
      </c>
      <c r="C338" s="2"/>
      <c r="D338" s="2">
        <f>0.6945712</f>
        <v>0.69457120000000006</v>
      </c>
      <c r="E338" s="2"/>
      <c r="F338" s="2">
        <f>0.5540809</f>
        <v>0.55408089999999999</v>
      </c>
      <c r="G338" s="2"/>
      <c r="H338" s="2">
        <f>1.9690139</f>
        <v>1.9690139</v>
      </c>
      <c r="I338" s="2"/>
      <c r="J338" s="2">
        <f>1.9937736</f>
        <v>1.9937735999999999</v>
      </c>
      <c r="K338" s="2"/>
      <c r="L338" s="2">
        <f>2.2072113</f>
        <v>2.2072113</v>
      </c>
    </row>
    <row r="339" spans="1:12" ht="17">
      <c r="A339" s="1" t="str">
        <f t="shared" si="14"/>
        <v>2020/05/18</v>
      </c>
      <c r="B339" s="1" t="str">
        <f>"23:00"</f>
        <v>23:00</v>
      </c>
      <c r="C339" s="2"/>
      <c r="D339" s="2">
        <f>0.5975307</f>
        <v>0.59753069999999997</v>
      </c>
      <c r="E339" s="2"/>
      <c r="F339" s="2">
        <f>0.6762687</f>
        <v>0.67626869999999994</v>
      </c>
      <c r="G339" s="2"/>
      <c r="H339" s="2">
        <f>2.346194</f>
        <v>2.3461940000000001</v>
      </c>
      <c r="I339" s="2"/>
      <c r="J339" s="2">
        <f>2.5358138</f>
        <v>2.5358138000000001</v>
      </c>
      <c r="K339" s="2"/>
      <c r="L339" s="2">
        <f>3.1272867</f>
        <v>3.1272867</v>
      </c>
    </row>
    <row r="340" spans="1:12" ht="17">
      <c r="A340" s="1" t="str">
        <f t="shared" si="14"/>
        <v>2020/05/18</v>
      </c>
      <c r="B340" s="1" t="str">
        <f>"24:00"</f>
        <v>24:00</v>
      </c>
      <c r="C340" s="2"/>
      <c r="D340" s="2">
        <f>0.7835516</f>
        <v>0.78355160000000001</v>
      </c>
      <c r="E340" s="2"/>
      <c r="F340" s="2">
        <f>0.89384556</f>
        <v>0.89384556000000004</v>
      </c>
      <c r="G340" s="2"/>
      <c r="H340" s="2">
        <f>3.2049475</f>
        <v>3.2049474999999998</v>
      </c>
      <c r="I340" s="2"/>
      <c r="J340" s="2">
        <f>3.1853614</f>
        <v>3.1853614000000001</v>
      </c>
      <c r="K340" s="2"/>
      <c r="L340" s="2">
        <f>3.624782</f>
        <v>3.6247820000000002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D0ACE-408C-4C45-A138-CB14E99D2E4B}">
  <dimension ref="A1:X19"/>
  <sheetViews>
    <sheetView tabSelected="1" zoomScale="150" workbookViewId="0">
      <selection activeCell="G36" sqref="G36"/>
    </sheetView>
  </sheetViews>
  <sheetFormatPr baseColWidth="10" defaultRowHeight="16"/>
  <cols>
    <col min="3" max="3" width="21.6640625" customWidth="1"/>
    <col min="15" max="15" width="21.5" customWidth="1"/>
    <col min="16" max="16" width="13.1640625" customWidth="1"/>
  </cols>
  <sheetData>
    <row r="1" spans="1:24" ht="34" customHeight="1">
      <c r="A1" s="19" t="str">
        <f>"GREENGEA LAB 1"</f>
        <v>GREENGEA LAB 1</v>
      </c>
      <c r="B1" s="19"/>
      <c r="C1" s="19"/>
      <c r="H1" s="19" t="str">
        <f>"GREENGEA LAB 1"</f>
        <v>GREENGEA LAB 1</v>
      </c>
      <c r="I1" s="19"/>
      <c r="J1" s="19"/>
      <c r="N1" s="19" t="str">
        <f>"GREENGEA LAB 1"</f>
        <v>GREENGEA LAB 1</v>
      </c>
      <c r="O1" s="19"/>
      <c r="P1" s="19"/>
      <c r="T1" s="19" t="str">
        <f>"GREENGEA LAB 1"</f>
        <v>GREENGEA LAB 1</v>
      </c>
      <c r="U1" s="19"/>
      <c r="V1" s="19"/>
      <c r="W1" s="19"/>
      <c r="X1" s="19"/>
    </row>
    <row r="2" spans="1:24" ht="18" customHeight="1">
      <c r="A2" s="20" t="str">
        <f>"Giorno"</f>
        <v>Giorno</v>
      </c>
      <c r="B2" s="8" t="str">
        <f>"PM10"</f>
        <v>PM10</v>
      </c>
      <c r="C2" s="19" t="s">
        <v>23</v>
      </c>
      <c r="H2" s="20" t="str">
        <f>"Giorno"</f>
        <v>Giorno</v>
      </c>
      <c r="I2" s="8" t="str">
        <f>"PM2,5"</f>
        <v>PM2,5</v>
      </c>
      <c r="J2" s="19" t="s">
        <v>38</v>
      </c>
      <c r="N2" s="19" t="s">
        <v>39</v>
      </c>
      <c r="O2" s="8" t="s">
        <v>40</v>
      </c>
      <c r="P2" s="23" t="s">
        <v>43</v>
      </c>
      <c r="T2" s="23" t="s">
        <v>39</v>
      </c>
      <c r="U2" s="24" t="s">
        <v>44</v>
      </c>
      <c r="V2" s="23" t="s">
        <v>45</v>
      </c>
      <c r="W2" s="23" t="s">
        <v>46</v>
      </c>
      <c r="X2" s="23" t="s">
        <v>41</v>
      </c>
    </row>
    <row r="3" spans="1:24" ht="51" customHeight="1">
      <c r="A3" s="21"/>
      <c r="B3" s="8" t="str">
        <f>"Media giornaliera"</f>
        <v>Media giornaliera</v>
      </c>
      <c r="C3" s="19"/>
      <c r="H3" s="21"/>
      <c r="I3" s="8" t="str">
        <f>"Media giornaliera"</f>
        <v>Media giornaliera</v>
      </c>
      <c r="J3" s="19"/>
      <c r="N3" s="19"/>
      <c r="O3" s="8" t="s">
        <v>42</v>
      </c>
      <c r="P3" s="23"/>
      <c r="T3" s="23"/>
      <c r="U3" s="24"/>
      <c r="V3" s="23"/>
      <c r="W3" s="23"/>
      <c r="X3" s="23"/>
    </row>
    <row r="4" spans="1:24" ht="17">
      <c r="A4" s="22"/>
      <c r="B4" s="8" t="str">
        <f t="shared" ref="B4" si="0">"[µg/m³] "</f>
        <v xml:space="preserve">[µg/m³] </v>
      </c>
      <c r="C4" s="19"/>
      <c r="H4" s="22"/>
      <c r="I4" s="8" t="str">
        <f t="shared" ref="I4" si="1">"[µg/m³] "</f>
        <v xml:space="preserve">[µg/m³] </v>
      </c>
      <c r="J4" s="19"/>
      <c r="N4" s="8" t="s">
        <v>24</v>
      </c>
      <c r="O4" s="16">
        <v>0.14000000000000001</v>
      </c>
      <c r="P4" s="16">
        <v>1</v>
      </c>
      <c r="T4" s="25" t="s">
        <v>25</v>
      </c>
      <c r="U4" s="16" t="s">
        <v>47</v>
      </c>
      <c r="V4" s="15" t="s">
        <v>48</v>
      </c>
      <c r="W4" s="16">
        <v>2.7</v>
      </c>
      <c r="X4" s="15">
        <v>20</v>
      </c>
    </row>
    <row r="5" spans="1:24" ht="17">
      <c r="A5" s="8" t="s">
        <v>24</v>
      </c>
      <c r="B5" s="16">
        <v>22</v>
      </c>
      <c r="C5" s="15">
        <v>50</v>
      </c>
      <c r="H5" s="8" t="s">
        <v>24</v>
      </c>
      <c r="I5" s="16">
        <v>16</v>
      </c>
      <c r="J5" s="15">
        <v>25</v>
      </c>
      <c r="N5" s="8" t="s">
        <v>26</v>
      </c>
      <c r="O5" s="16">
        <v>0.12</v>
      </c>
      <c r="P5" s="16">
        <v>1</v>
      </c>
      <c r="T5" s="25"/>
      <c r="U5" s="16" t="s">
        <v>49</v>
      </c>
      <c r="V5" s="15" t="s">
        <v>48</v>
      </c>
      <c r="W5" s="16" t="s">
        <v>50</v>
      </c>
      <c r="X5" s="15">
        <v>6</v>
      </c>
    </row>
    <row r="6" spans="1:24" ht="17">
      <c r="A6" s="8" t="s">
        <v>25</v>
      </c>
      <c r="B6" s="16">
        <v>20</v>
      </c>
      <c r="C6" s="15">
        <v>50</v>
      </c>
      <c r="H6" s="8" t="s">
        <v>25</v>
      </c>
      <c r="I6" s="16">
        <v>12</v>
      </c>
      <c r="J6" s="15">
        <v>25</v>
      </c>
      <c r="N6" s="8" t="s">
        <v>28</v>
      </c>
      <c r="O6" s="16">
        <v>0.13</v>
      </c>
      <c r="P6" s="16">
        <v>1</v>
      </c>
      <c r="T6" s="25"/>
      <c r="U6" s="16" t="s">
        <v>51</v>
      </c>
      <c r="V6" s="15" t="s">
        <v>48</v>
      </c>
      <c r="W6" s="16" t="s">
        <v>50</v>
      </c>
      <c r="X6" s="15">
        <v>5</v>
      </c>
    </row>
    <row r="7" spans="1:24" ht="17">
      <c r="A7" s="8" t="s">
        <v>26</v>
      </c>
      <c r="B7" s="16">
        <v>20</v>
      </c>
      <c r="C7" s="15">
        <v>50</v>
      </c>
      <c r="H7" s="8" t="s">
        <v>26</v>
      </c>
      <c r="I7" s="16">
        <v>7</v>
      </c>
      <c r="J7" s="15">
        <v>25</v>
      </c>
      <c r="N7" s="8" t="s">
        <v>30</v>
      </c>
      <c r="O7" s="16">
        <v>0.12</v>
      </c>
      <c r="P7" s="16">
        <v>1</v>
      </c>
      <c r="T7" s="25"/>
      <c r="U7" s="16" t="s">
        <v>52</v>
      </c>
      <c r="V7" s="15" t="s">
        <v>53</v>
      </c>
      <c r="W7" s="16">
        <v>3.0000000000000001E-3</v>
      </c>
      <c r="X7" s="15">
        <v>0.5</v>
      </c>
    </row>
    <row r="8" spans="1:24" ht="21" customHeight="1">
      <c r="A8" s="8" t="s">
        <v>27</v>
      </c>
      <c r="B8" s="16">
        <v>9</v>
      </c>
      <c r="C8" s="15">
        <v>50</v>
      </c>
      <c r="H8" s="8" t="s">
        <v>27</v>
      </c>
      <c r="I8" s="16">
        <v>9</v>
      </c>
      <c r="J8" s="15">
        <v>25</v>
      </c>
      <c r="T8" s="25" t="s">
        <v>27</v>
      </c>
      <c r="U8" s="17" t="s">
        <v>47</v>
      </c>
      <c r="V8" s="15" t="s">
        <v>48</v>
      </c>
      <c r="W8" s="17">
        <v>1.67</v>
      </c>
      <c r="X8" s="15">
        <v>20</v>
      </c>
    </row>
    <row r="9" spans="1:24" ht="17">
      <c r="A9" s="8" t="s">
        <v>28</v>
      </c>
      <c r="B9" s="17">
        <v>27</v>
      </c>
      <c r="C9" s="18">
        <v>50</v>
      </c>
      <c r="H9" s="8" t="s">
        <v>28</v>
      </c>
      <c r="I9" s="17">
        <v>16</v>
      </c>
      <c r="J9" s="15">
        <v>25</v>
      </c>
      <c r="T9" s="25"/>
      <c r="U9" s="16" t="s">
        <v>49</v>
      </c>
      <c r="V9" s="15" t="s">
        <v>48</v>
      </c>
      <c r="W9" s="16" t="s">
        <v>50</v>
      </c>
      <c r="X9" s="15">
        <v>6</v>
      </c>
    </row>
    <row r="10" spans="1:24" ht="17">
      <c r="A10" s="8" t="s">
        <v>29</v>
      </c>
      <c r="B10" s="16">
        <v>22</v>
      </c>
      <c r="C10" s="15">
        <v>50</v>
      </c>
      <c r="H10" s="8" t="s">
        <v>29</v>
      </c>
      <c r="I10" s="16">
        <v>16</v>
      </c>
      <c r="J10" s="15">
        <v>25</v>
      </c>
      <c r="T10" s="25"/>
      <c r="U10" s="16" t="s">
        <v>51</v>
      </c>
      <c r="V10" s="15" t="s">
        <v>48</v>
      </c>
      <c r="W10" s="16" t="s">
        <v>50</v>
      </c>
      <c r="X10" s="15">
        <v>5</v>
      </c>
    </row>
    <row r="11" spans="1:24" ht="17">
      <c r="A11" s="8" t="s">
        <v>30</v>
      </c>
      <c r="B11" s="16">
        <v>33</v>
      </c>
      <c r="C11" s="15">
        <v>50</v>
      </c>
      <c r="H11" s="8" t="s">
        <v>30</v>
      </c>
      <c r="I11" s="16">
        <v>19</v>
      </c>
      <c r="J11" s="15">
        <v>25</v>
      </c>
      <c r="T11" s="25"/>
      <c r="U11" s="16" t="s">
        <v>52</v>
      </c>
      <c r="V11" s="15" t="s">
        <v>53</v>
      </c>
      <c r="W11" s="16">
        <v>3.0000000000000001E-3</v>
      </c>
      <c r="X11" s="15">
        <v>0.5</v>
      </c>
    </row>
    <row r="12" spans="1:24" ht="17">
      <c r="A12" s="8" t="s">
        <v>31</v>
      </c>
      <c r="B12" s="16">
        <v>27</v>
      </c>
      <c r="C12" s="15">
        <v>50</v>
      </c>
      <c r="H12" s="8" t="s">
        <v>31</v>
      </c>
      <c r="I12" s="16">
        <v>14</v>
      </c>
      <c r="J12" s="15">
        <v>25</v>
      </c>
      <c r="T12" s="25" t="s">
        <v>29</v>
      </c>
      <c r="U12" s="16" t="s">
        <v>47</v>
      </c>
      <c r="V12" s="15" t="s">
        <v>48</v>
      </c>
      <c r="W12" s="16">
        <v>2.5</v>
      </c>
      <c r="X12" s="15">
        <v>20</v>
      </c>
    </row>
    <row r="13" spans="1:24" ht="17">
      <c r="A13" s="8" t="s">
        <v>32</v>
      </c>
      <c r="B13" s="16">
        <v>42</v>
      </c>
      <c r="C13" s="15">
        <v>50</v>
      </c>
      <c r="H13" s="8" t="s">
        <v>32</v>
      </c>
      <c r="I13" s="16">
        <v>27</v>
      </c>
      <c r="J13" s="15">
        <v>25</v>
      </c>
      <c r="T13" s="25"/>
      <c r="U13" s="16" t="s">
        <v>49</v>
      </c>
      <c r="V13" s="15" t="s">
        <v>48</v>
      </c>
      <c r="W13" s="16" t="s">
        <v>50</v>
      </c>
      <c r="X13" s="15">
        <v>6</v>
      </c>
    </row>
    <row r="14" spans="1:24" ht="17">
      <c r="A14" s="8" t="s">
        <v>33</v>
      </c>
      <c r="B14" s="16">
        <v>71</v>
      </c>
      <c r="C14" s="15">
        <v>50</v>
      </c>
      <c r="H14" s="8" t="s">
        <v>33</v>
      </c>
      <c r="I14" s="16">
        <v>39</v>
      </c>
      <c r="J14" s="15">
        <v>25</v>
      </c>
      <c r="T14" s="25"/>
      <c r="U14" s="16" t="s">
        <v>51</v>
      </c>
      <c r="V14" s="15" t="s">
        <v>48</v>
      </c>
      <c r="W14" s="16" t="s">
        <v>50</v>
      </c>
      <c r="X14" s="15">
        <v>5</v>
      </c>
    </row>
    <row r="15" spans="1:24" ht="17">
      <c r="A15" s="8" t="s">
        <v>34</v>
      </c>
      <c r="B15" s="16">
        <v>83</v>
      </c>
      <c r="C15" s="15">
        <v>50</v>
      </c>
      <c r="H15" s="8" t="s">
        <v>34</v>
      </c>
      <c r="I15" s="16">
        <v>39</v>
      </c>
      <c r="J15" s="15">
        <v>25</v>
      </c>
      <c r="T15" s="25"/>
      <c r="U15" s="16" t="s">
        <v>52</v>
      </c>
      <c r="V15" s="15" t="s">
        <v>53</v>
      </c>
      <c r="W15" s="16">
        <v>8.0000000000000002E-3</v>
      </c>
      <c r="X15" s="15">
        <v>0.5</v>
      </c>
    </row>
    <row r="16" spans="1:24" ht="17">
      <c r="A16" s="8" t="s">
        <v>35</v>
      </c>
      <c r="B16" s="16">
        <v>58</v>
      </c>
      <c r="C16" s="15">
        <v>50</v>
      </c>
      <c r="H16" s="8" t="s">
        <v>35</v>
      </c>
      <c r="I16" s="16">
        <v>21</v>
      </c>
      <c r="J16" s="15">
        <v>25</v>
      </c>
      <c r="T16" s="25" t="s">
        <v>31</v>
      </c>
      <c r="U16" s="16" t="s">
        <v>47</v>
      </c>
      <c r="V16" s="15" t="s">
        <v>48</v>
      </c>
      <c r="W16" s="16">
        <v>20</v>
      </c>
      <c r="X16" s="15">
        <v>20</v>
      </c>
    </row>
    <row r="17" spans="1:24" ht="17">
      <c r="A17" s="8" t="s">
        <v>36</v>
      </c>
      <c r="B17" s="16">
        <v>51</v>
      </c>
      <c r="C17" s="15">
        <v>50</v>
      </c>
      <c r="H17" s="8" t="s">
        <v>36</v>
      </c>
      <c r="I17" s="16">
        <v>21</v>
      </c>
      <c r="J17" s="15">
        <v>25</v>
      </c>
      <c r="T17" s="25"/>
      <c r="U17" s="16" t="s">
        <v>49</v>
      </c>
      <c r="V17" s="15" t="s">
        <v>48</v>
      </c>
      <c r="W17" s="16">
        <v>6</v>
      </c>
      <c r="X17" s="15">
        <v>6</v>
      </c>
    </row>
    <row r="18" spans="1:24" ht="17">
      <c r="A18" s="8" t="s">
        <v>37</v>
      </c>
      <c r="B18" s="16">
        <v>44</v>
      </c>
      <c r="C18" s="15">
        <v>50</v>
      </c>
      <c r="H18" s="8" t="s">
        <v>37</v>
      </c>
      <c r="I18" s="16">
        <v>14</v>
      </c>
      <c r="J18" s="15">
        <v>25</v>
      </c>
      <c r="T18" s="25"/>
      <c r="U18" s="16" t="s">
        <v>51</v>
      </c>
      <c r="V18" s="15" t="s">
        <v>48</v>
      </c>
      <c r="W18" s="16">
        <v>5</v>
      </c>
      <c r="X18" s="15">
        <v>5</v>
      </c>
    </row>
    <row r="19" spans="1:24" ht="17">
      <c r="T19" s="25"/>
      <c r="U19" s="16" t="s">
        <v>52</v>
      </c>
      <c r="V19" s="15" t="s">
        <v>53</v>
      </c>
      <c r="W19" s="16">
        <v>0.5</v>
      </c>
      <c r="X19" s="15">
        <v>0.5</v>
      </c>
    </row>
  </sheetData>
  <mergeCells count="19">
    <mergeCell ref="T8:T11"/>
    <mergeCell ref="T12:T15"/>
    <mergeCell ref="T16:T19"/>
    <mergeCell ref="T1:X1"/>
    <mergeCell ref="T2:T3"/>
    <mergeCell ref="U2:U3"/>
    <mergeCell ref="V2:V3"/>
    <mergeCell ref="W2:W3"/>
    <mergeCell ref="X2:X3"/>
    <mergeCell ref="T4:T7"/>
    <mergeCell ref="P2:P3"/>
    <mergeCell ref="N1:P1"/>
    <mergeCell ref="H2:H4"/>
    <mergeCell ref="A2:A4"/>
    <mergeCell ref="N2:N3"/>
    <mergeCell ref="J2:J4"/>
    <mergeCell ref="H1:J1"/>
    <mergeCell ref="A1:C1"/>
    <mergeCell ref="C2: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Inquinanti Gas</vt:lpstr>
      <vt:lpstr>Parametri Meteo</vt:lpstr>
      <vt:lpstr>BTEX</vt:lpstr>
      <vt:lpstr>Particolato - BaP - Met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2020-05-22T08:03:14Z</dcterms:created>
  <dcterms:modified xsi:type="dcterms:W3CDTF">2020-06-10T10:37:50Z</dcterms:modified>
</cp:coreProperties>
</file>